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EstaPastaDeTrabalho"/>
  <mc:AlternateContent xmlns:mc="http://schemas.openxmlformats.org/markup-compatibility/2006">
    <mc:Choice Requires="x15">
      <x15ac:absPath xmlns:x15ac="http://schemas.microsoft.com/office/spreadsheetml/2010/11/ac" url="E:\PLANILHAS DE CUSTO\Manutenção PHENIX\"/>
    </mc:Choice>
  </mc:AlternateContent>
  <xr:revisionPtr revIDLastSave="0" documentId="13_ncr:1_{AA3BEC3C-D8BC-4DB2-A06E-C36A1CDC9BAE}" xr6:coauthVersionLast="36" xr6:coauthVersionMax="36" xr10:uidLastSave="{00000000-0000-0000-0000-000000000000}"/>
  <bookViews>
    <workbookView xWindow="0" yWindow="0" windowWidth="13530" windowHeight="4510" tabRatio="944" firstSheet="19" activeTab="21" xr2:uid="{00000000-000D-0000-FFFF-FFFF00000000}"/>
  </bookViews>
  <sheets>
    <sheet name="Almoxarife" sheetId="47" r:id="rId1"/>
    <sheet name="Aux Eletri 44" sheetId="48" r:id="rId2"/>
    <sheet name="Aux Eletri 40" sheetId="59" r:id="rId3"/>
    <sheet name="Auxiliar de Refrigeração 44" sheetId="49" r:id="rId4"/>
    <sheet name="Auxiliar de Refrigeração 40" sheetId="60" r:id="rId5"/>
    <sheet name="Auxiliar produção (servente) 44" sheetId="50" r:id="rId6"/>
    <sheet name="Auxiliar produção (servente) 40" sheetId="61" r:id="rId7"/>
    <sheet name="Bombeiro Hidraulico 44" sheetId="51" r:id="rId8"/>
    <sheet name="Engenheiro Civil" sheetId="41" r:id="rId9"/>
    <sheet name="Engenheiro Eletricista" sheetId="45" r:id="rId10"/>
    <sheet name="Engenheiro Mecanico" sheetId="46" r:id="rId11"/>
    <sheet name="Gesseiro" sheetId="52" r:id="rId12"/>
    <sheet name="Marceneiro" sheetId="53" r:id="rId13"/>
    <sheet name="Mecânico de Refrigeração 44" sheetId="54" r:id="rId14"/>
    <sheet name="Mecânico de Refrigeração 40" sheetId="63" r:id="rId15"/>
    <sheet name="Oficial de Manutenção Predia 44" sheetId="55" r:id="rId16"/>
    <sheet name="Oficial de Manutenção Predi 40" sheetId="68" r:id="rId17"/>
    <sheet name="Ténico em Edificações" sheetId="56" r:id="rId18"/>
    <sheet name="Técnico em Eletricidade 44" sheetId="57" r:id="rId19"/>
    <sheet name="Técnico em Eletricidade 40" sheetId="64" r:id="rId20"/>
    <sheet name="Técnico em Seg. do Trab." sheetId="58" r:id="rId21"/>
    <sheet name="RESUMO" sheetId="44" r:id="rId22"/>
    <sheet name="Descritivo" sheetId="65" state="hidden" r:id="rId23"/>
  </sheets>
  <definedNames>
    <definedName name="_xlnm.Print_Area" localSheetId="0">Almoxarife!$A$1:$K$172</definedName>
    <definedName name="_xlnm.Print_Area" localSheetId="2">'Aux Eletri 40'!$A$1:$K$172</definedName>
    <definedName name="_xlnm.Print_Area" localSheetId="1">'Aux Eletri 44'!$A$1:$K$172</definedName>
    <definedName name="_xlnm.Print_Area" localSheetId="4">'Auxiliar de Refrigeração 40'!$A$1:$K$172</definedName>
    <definedName name="_xlnm.Print_Area" localSheetId="3">'Auxiliar de Refrigeração 44'!$A$1:$K$172</definedName>
    <definedName name="_xlnm.Print_Area" localSheetId="6">'Auxiliar produção (servente) 40'!$A$1:$K$172</definedName>
    <definedName name="_xlnm.Print_Area" localSheetId="5">'Auxiliar produção (servente) 44'!$A$1:$K$172</definedName>
    <definedName name="_xlnm.Print_Area" localSheetId="7">'Bombeiro Hidraulico 44'!$A$1:$K$172</definedName>
    <definedName name="_xlnm.Print_Area" localSheetId="22">Descritivo!$A$3</definedName>
    <definedName name="_xlnm.Print_Area" localSheetId="8">'Engenheiro Civil'!$A$1:$K$172</definedName>
    <definedName name="_xlnm.Print_Area" localSheetId="9">'Engenheiro Eletricista'!$A$1:$K$172</definedName>
    <definedName name="_xlnm.Print_Area" localSheetId="10">'Engenheiro Mecanico'!$A$1:$K$172</definedName>
    <definedName name="_xlnm.Print_Area" localSheetId="11">Gesseiro!$A$1:$K$172</definedName>
    <definedName name="_xlnm.Print_Area" localSheetId="12">Marceneiro!$A$1:$K$172</definedName>
    <definedName name="_xlnm.Print_Area" localSheetId="14">'Mecânico de Refrigeração 40'!$A$1:$K$172</definedName>
    <definedName name="_xlnm.Print_Area" localSheetId="13">'Mecânico de Refrigeração 44'!$A$1:$K$172</definedName>
    <definedName name="_xlnm.Print_Area" localSheetId="16">'Oficial de Manutenção Predi 40'!$A$1:$K$172</definedName>
    <definedName name="_xlnm.Print_Area" localSheetId="15">'Oficial de Manutenção Predia 44'!$A$1:$K$172</definedName>
    <definedName name="_xlnm.Print_Area" localSheetId="21">RESUMO!$A$1:$J$31</definedName>
    <definedName name="_xlnm.Print_Area" localSheetId="19">'Técnico em Eletricidade 40'!$A$1:$K$172</definedName>
    <definedName name="_xlnm.Print_Area" localSheetId="18">'Técnico em Eletricidade 44'!$A$1:$K$172</definedName>
    <definedName name="_xlnm.Print_Area" localSheetId="20">'Técnico em Seg. do Trab.'!$A$1:$K$172</definedName>
    <definedName name="_xlnm.Print_Area" localSheetId="17">'Ténico em Edificações'!$A$1:$K$172</definedName>
  </definedNames>
  <calcPr calcId="191029" iterate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64" i="63" l="1"/>
  <c r="J64" i="64"/>
  <c r="J64" i="58"/>
  <c r="J64" i="57"/>
  <c r="J64" i="56"/>
  <c r="J64" i="68"/>
  <c r="J64" i="55"/>
  <c r="J64" i="54"/>
  <c r="J64" i="53"/>
  <c r="J64" i="52"/>
  <c r="J64" i="46"/>
  <c r="J64" i="45"/>
  <c r="J64" i="41"/>
  <c r="J64" i="51"/>
  <c r="J64" i="61"/>
  <c r="J64" i="60"/>
  <c r="J64" i="59"/>
  <c r="J64" i="48"/>
  <c r="J64" i="47"/>
  <c r="I61" i="57"/>
  <c r="I61" i="56"/>
  <c r="I61" i="55"/>
  <c r="I61" i="53"/>
  <c r="I61" i="54"/>
  <c r="I61" i="52"/>
  <c r="I61" i="51"/>
  <c r="I61" i="50"/>
  <c r="I61" i="49"/>
  <c r="I61" i="48"/>
  <c r="I61" i="47"/>
  <c r="H17" i="58"/>
  <c r="H17" i="46"/>
  <c r="H17" i="45"/>
  <c r="H17" i="41"/>
  <c r="I135" i="68" l="1"/>
  <c r="J101" i="68"/>
  <c r="J106" i="68" s="1"/>
  <c r="I87" i="68"/>
  <c r="J57" i="68"/>
  <c r="I49" i="68"/>
  <c r="J24" i="68"/>
  <c r="J29" i="68" l="1"/>
  <c r="J30" i="68" s="1"/>
  <c r="J53" i="68"/>
  <c r="J70" i="68" s="1"/>
  <c r="J80" i="68" l="1"/>
  <c r="J78" i="68"/>
  <c r="J79" i="68" s="1"/>
  <c r="J35" i="68"/>
  <c r="J142" i="68"/>
  <c r="J77" i="68"/>
  <c r="J36" i="68"/>
  <c r="J91" i="68" s="1"/>
  <c r="J87" i="68"/>
  <c r="D92" i="65"/>
  <c r="J75" i="68" l="1"/>
  <c r="J76" i="68" s="1"/>
  <c r="J81" i="68" s="1"/>
  <c r="J144" i="68" s="1"/>
  <c r="J37" i="68"/>
  <c r="J84" i="68"/>
  <c r="J113" i="48"/>
  <c r="J113" i="50"/>
  <c r="J113" i="61"/>
  <c r="J113" i="51"/>
  <c r="J113" i="45"/>
  <c r="J113" i="54"/>
  <c r="J113" i="63"/>
  <c r="J113" i="55"/>
  <c r="J113" i="57"/>
  <c r="C101" i="65"/>
  <c r="J113" i="68" s="1"/>
  <c r="D55" i="65"/>
  <c r="D56" i="65"/>
  <c r="D57" i="65"/>
  <c r="D58" i="65"/>
  <c r="D59" i="65"/>
  <c r="D60" i="65"/>
  <c r="D61" i="65"/>
  <c r="D62" i="65"/>
  <c r="D63" i="65"/>
  <c r="D64" i="65"/>
  <c r="D65" i="65"/>
  <c r="D66" i="65"/>
  <c r="D67" i="65"/>
  <c r="D68" i="65"/>
  <c r="D69" i="65"/>
  <c r="D70" i="65"/>
  <c r="D71" i="65"/>
  <c r="D72" i="65"/>
  <c r="D73" i="65"/>
  <c r="D74" i="65"/>
  <c r="D75" i="65"/>
  <c r="D76" i="65"/>
  <c r="D77" i="65"/>
  <c r="D78" i="65"/>
  <c r="D79" i="65"/>
  <c r="D80" i="65"/>
  <c r="D81" i="65"/>
  <c r="D82" i="65"/>
  <c r="D83" i="65"/>
  <c r="D84" i="65"/>
  <c r="D85" i="65"/>
  <c r="D86" i="65"/>
  <c r="D87" i="65"/>
  <c r="D88" i="65"/>
  <c r="D89" i="65"/>
  <c r="D90" i="65"/>
  <c r="D91" i="65"/>
  <c r="D54" i="65"/>
  <c r="B44" i="65"/>
  <c r="E44" i="65" s="1"/>
  <c r="B43" i="65"/>
  <c r="B42" i="65"/>
  <c r="E42" i="65" s="1"/>
  <c r="E30" i="65"/>
  <c r="E21" i="65"/>
  <c r="E22" i="65"/>
  <c r="E23" i="65"/>
  <c r="E24" i="65"/>
  <c r="E25" i="65"/>
  <c r="E26" i="65"/>
  <c r="E27" i="65"/>
  <c r="E28" i="65"/>
  <c r="E29" i="65"/>
  <c r="E31" i="65"/>
  <c r="E32" i="65"/>
  <c r="E33" i="65"/>
  <c r="E34" i="65"/>
  <c r="E35" i="65"/>
  <c r="E37" i="65"/>
  <c r="E38" i="65"/>
  <c r="E39" i="65"/>
  <c r="E40" i="65"/>
  <c r="E41" i="65"/>
  <c r="E43" i="65"/>
  <c r="E20" i="65"/>
  <c r="B37" i="65"/>
  <c r="B36" i="65"/>
  <c r="E36" i="65" s="1"/>
  <c r="E6" i="65"/>
  <c r="E7" i="65"/>
  <c r="E8" i="65"/>
  <c r="E9" i="65"/>
  <c r="E10" i="65"/>
  <c r="E11" i="65"/>
  <c r="E12" i="65"/>
  <c r="E13" i="65"/>
  <c r="C5" i="65"/>
  <c r="E5" i="65" s="1"/>
  <c r="C32" i="44"/>
  <c r="J113" i="56" l="1"/>
  <c r="J113" i="41"/>
  <c r="J113" i="47"/>
  <c r="J113" i="53"/>
  <c r="J113" i="60"/>
  <c r="J113" i="58"/>
  <c r="J113" i="52"/>
  <c r="J113" i="49"/>
  <c r="D93" i="65"/>
  <c r="J112" i="68" s="1"/>
  <c r="J113" i="64"/>
  <c r="J113" i="46"/>
  <c r="J113" i="59"/>
  <c r="J90" i="68"/>
  <c r="J92" i="68"/>
  <c r="J89" i="68"/>
  <c r="J88" i="68"/>
  <c r="J68" i="68"/>
  <c r="J45" i="68"/>
  <c r="J44" i="68"/>
  <c r="J48" i="68"/>
  <c r="J43" i="68"/>
  <c r="J47" i="68"/>
  <c r="J46" i="68"/>
  <c r="J41" i="68"/>
  <c r="J42" i="68"/>
  <c r="J112" i="45"/>
  <c r="E46" i="65"/>
  <c r="E14" i="65"/>
  <c r="J61" i="57"/>
  <c r="J57" i="57"/>
  <c r="J61" i="56"/>
  <c r="J57" i="56"/>
  <c r="J61" i="55"/>
  <c r="J57" i="55"/>
  <c r="J61" i="54"/>
  <c r="J57" i="54"/>
  <c r="J61" i="53"/>
  <c r="J57" i="53"/>
  <c r="J61" i="52"/>
  <c r="J57" i="52"/>
  <c r="J61" i="51"/>
  <c r="J57" i="51"/>
  <c r="J57" i="61"/>
  <c r="J61" i="50"/>
  <c r="J57" i="50"/>
  <c r="J61" i="49"/>
  <c r="J57" i="49"/>
  <c r="J61" i="48"/>
  <c r="J57" i="48"/>
  <c r="J61" i="47"/>
  <c r="J7" i="44"/>
  <c r="I135" i="64"/>
  <c r="J101" i="64"/>
  <c r="J106" i="64" s="1"/>
  <c r="I87" i="64"/>
  <c r="J57" i="64"/>
  <c r="I49" i="64"/>
  <c r="J24" i="64"/>
  <c r="J53" i="64" s="1"/>
  <c r="I135" i="63"/>
  <c r="J101" i="63"/>
  <c r="J106" i="63" s="1"/>
  <c r="I87" i="63"/>
  <c r="J57" i="63"/>
  <c r="I49" i="63"/>
  <c r="J24" i="63"/>
  <c r="J53" i="63" s="1"/>
  <c r="I135" i="61"/>
  <c r="J101" i="61"/>
  <c r="J106" i="61" s="1"/>
  <c r="I87" i="61"/>
  <c r="I49" i="61"/>
  <c r="J24" i="61"/>
  <c r="J53" i="61" s="1"/>
  <c r="I135" i="60"/>
  <c r="J101" i="60"/>
  <c r="J106" i="60" s="1"/>
  <c r="I87" i="60"/>
  <c r="J57" i="60"/>
  <c r="I49" i="60"/>
  <c r="J24" i="60"/>
  <c r="J29" i="60" s="1"/>
  <c r="I135" i="59"/>
  <c r="I87" i="59"/>
  <c r="J57" i="59"/>
  <c r="I49" i="59"/>
  <c r="J101" i="59" s="1"/>
  <c r="J106" i="59" s="1"/>
  <c r="J24" i="59"/>
  <c r="J53" i="59" s="1"/>
  <c r="J70" i="64" l="1"/>
  <c r="J70" i="59"/>
  <c r="J70" i="63"/>
  <c r="J70" i="61"/>
  <c r="J93" i="68"/>
  <c r="J95" i="68" s="1"/>
  <c r="J105" i="68" s="1"/>
  <c r="J107" i="68" s="1"/>
  <c r="J145" i="68" s="1"/>
  <c r="J49" i="68"/>
  <c r="J69" i="68" s="1"/>
  <c r="J71" i="68" s="1"/>
  <c r="J112" i="46"/>
  <c r="J112" i="47"/>
  <c r="J112" i="48"/>
  <c r="J112" i="55"/>
  <c r="J112" i="52"/>
  <c r="J112" i="49"/>
  <c r="J112" i="50"/>
  <c r="J112" i="53"/>
  <c r="J112" i="64"/>
  <c r="J112" i="41"/>
  <c r="J112" i="59"/>
  <c r="J112" i="54"/>
  <c r="J112" i="63"/>
  <c r="J112" i="60"/>
  <c r="J112" i="57"/>
  <c r="J112" i="56"/>
  <c r="J112" i="61"/>
  <c r="J112" i="58"/>
  <c r="J112" i="51"/>
  <c r="E48" i="65"/>
  <c r="J29" i="64"/>
  <c r="J30" i="64" s="1"/>
  <c r="J29" i="63"/>
  <c r="J30" i="63" s="1"/>
  <c r="J29" i="61"/>
  <c r="J30" i="61" s="1"/>
  <c r="J30" i="60"/>
  <c r="J53" i="60"/>
  <c r="J70" i="60" s="1"/>
  <c r="J29" i="59"/>
  <c r="J30" i="59" s="1"/>
  <c r="I135" i="58"/>
  <c r="J101" i="58"/>
  <c r="J106" i="58" s="1"/>
  <c r="I87" i="58"/>
  <c r="J57" i="58"/>
  <c r="I49" i="58"/>
  <c r="I135" i="57"/>
  <c r="I87" i="57"/>
  <c r="I49" i="57"/>
  <c r="J24" i="57"/>
  <c r="J29" i="57" s="1"/>
  <c r="J30" i="57" s="1"/>
  <c r="I135" i="56"/>
  <c r="I87" i="56"/>
  <c r="I49" i="56"/>
  <c r="J24" i="56"/>
  <c r="I135" i="55"/>
  <c r="I87" i="55"/>
  <c r="I49" i="55"/>
  <c r="J101" i="55" s="1"/>
  <c r="J106" i="55" s="1"/>
  <c r="J24" i="55"/>
  <c r="I135" i="54"/>
  <c r="I87" i="54"/>
  <c r="I49" i="54"/>
  <c r="J24" i="54"/>
  <c r="I135" i="53"/>
  <c r="I87" i="53"/>
  <c r="I49" i="53"/>
  <c r="J101" i="53" s="1"/>
  <c r="J106" i="53" s="1"/>
  <c r="J24" i="53"/>
  <c r="I135" i="52"/>
  <c r="I87" i="52"/>
  <c r="I49" i="52"/>
  <c r="J101" i="52" s="1"/>
  <c r="J106" i="52" s="1"/>
  <c r="J24" i="52"/>
  <c r="I135" i="51"/>
  <c r="I87" i="51"/>
  <c r="I49" i="51"/>
  <c r="J101" i="51" s="1"/>
  <c r="J106" i="51" s="1"/>
  <c r="J24" i="51"/>
  <c r="J53" i="51" s="1"/>
  <c r="I135" i="50"/>
  <c r="J101" i="50"/>
  <c r="J106" i="50" s="1"/>
  <c r="I87" i="50"/>
  <c r="I49" i="50"/>
  <c r="J24" i="50"/>
  <c r="J53" i="50" s="1"/>
  <c r="J64" i="50" s="1"/>
  <c r="I135" i="49"/>
  <c r="J101" i="49"/>
  <c r="J106" i="49" s="1"/>
  <c r="I87" i="49"/>
  <c r="I49" i="49"/>
  <c r="J24" i="49"/>
  <c r="J53" i="49" s="1"/>
  <c r="J64" i="49" s="1"/>
  <c r="I135" i="48"/>
  <c r="J101" i="48"/>
  <c r="J106" i="48" s="1"/>
  <c r="I87" i="48"/>
  <c r="I49" i="48"/>
  <c r="J24" i="48"/>
  <c r="J57" i="47"/>
  <c r="J24" i="47"/>
  <c r="I135" i="47"/>
  <c r="J101" i="47"/>
  <c r="J106" i="47" s="1"/>
  <c r="I87" i="47"/>
  <c r="I49" i="47"/>
  <c r="I135" i="46"/>
  <c r="J101" i="46"/>
  <c r="J106" i="46" s="1"/>
  <c r="I87" i="46"/>
  <c r="J57" i="46"/>
  <c r="I49" i="46"/>
  <c r="J24" i="46"/>
  <c r="I135" i="45"/>
  <c r="I87" i="45"/>
  <c r="J57" i="45"/>
  <c r="I49" i="45"/>
  <c r="J101" i="45" s="1"/>
  <c r="J106" i="45" s="1"/>
  <c r="J24" i="45"/>
  <c r="J27" i="56" l="1"/>
  <c r="J53" i="56"/>
  <c r="J70" i="56" s="1"/>
  <c r="J115" i="57"/>
  <c r="J146" i="57" s="1"/>
  <c r="J53" i="52"/>
  <c r="J70" i="52" s="1"/>
  <c r="J29" i="52"/>
  <c r="J30" i="52" s="1"/>
  <c r="J29" i="54"/>
  <c r="J30" i="54" s="1"/>
  <c r="J53" i="54"/>
  <c r="J70" i="54" s="1"/>
  <c r="J24" i="58"/>
  <c r="J53" i="58" s="1"/>
  <c r="J70" i="58" s="1"/>
  <c r="J115" i="61"/>
  <c r="J146" i="61" s="1"/>
  <c r="J115" i="56"/>
  <c r="J146" i="56" s="1"/>
  <c r="J53" i="53"/>
  <c r="J70" i="53" s="1"/>
  <c r="J115" i="52"/>
  <c r="J146" i="52" s="1"/>
  <c r="J53" i="55"/>
  <c r="J70" i="55" s="1"/>
  <c r="J111" i="68"/>
  <c r="J115" i="68" s="1"/>
  <c r="J146" i="68" s="1"/>
  <c r="J111" i="61"/>
  <c r="J111" i="63"/>
  <c r="J115" i="63" s="1"/>
  <c r="J146" i="63" s="1"/>
  <c r="J111" i="46"/>
  <c r="J115" i="46" s="1"/>
  <c r="J146" i="46" s="1"/>
  <c r="J111" i="64"/>
  <c r="J115" i="64" s="1"/>
  <c r="J146" i="64" s="1"/>
  <c r="J111" i="51"/>
  <c r="J111" i="55"/>
  <c r="J111" i="45"/>
  <c r="J115" i="45" s="1"/>
  <c r="J146" i="45" s="1"/>
  <c r="J111" i="57"/>
  <c r="J111" i="49"/>
  <c r="J115" i="49" s="1"/>
  <c r="J146" i="49" s="1"/>
  <c r="J111" i="58"/>
  <c r="J115" i="58" s="1"/>
  <c r="J146" i="58" s="1"/>
  <c r="J111" i="47"/>
  <c r="J115" i="47" s="1"/>
  <c r="J146" i="47" s="1"/>
  <c r="J111" i="41"/>
  <c r="J111" i="56"/>
  <c r="J111" i="48"/>
  <c r="J115" i="48" s="1"/>
  <c r="J146" i="48" s="1"/>
  <c r="J111" i="59"/>
  <c r="J111" i="52"/>
  <c r="J111" i="60"/>
  <c r="J115" i="60" s="1"/>
  <c r="J146" i="60" s="1"/>
  <c r="J111" i="53"/>
  <c r="J115" i="53" s="1"/>
  <c r="J146" i="53" s="1"/>
  <c r="J111" i="50"/>
  <c r="J115" i="50" s="1"/>
  <c r="J146" i="50" s="1"/>
  <c r="J111" i="54"/>
  <c r="J115" i="54"/>
  <c r="J146" i="54" s="1"/>
  <c r="J115" i="55"/>
  <c r="J146" i="55" s="1"/>
  <c r="J29" i="48"/>
  <c r="J53" i="48"/>
  <c r="J70" i="48" s="1"/>
  <c r="J53" i="57"/>
  <c r="J70" i="57" s="1"/>
  <c r="J115" i="51"/>
  <c r="J146" i="51" s="1"/>
  <c r="J115" i="59"/>
  <c r="J146" i="59" s="1"/>
  <c r="J143" i="68"/>
  <c r="J147" i="68" s="1"/>
  <c r="J119" i="68"/>
  <c r="J120" i="68" s="1"/>
  <c r="J70" i="51"/>
  <c r="J70" i="50"/>
  <c r="J36" i="64"/>
  <c r="J91" i="64" s="1"/>
  <c r="J78" i="64"/>
  <c r="J79" i="64" s="1"/>
  <c r="J35" i="64"/>
  <c r="J77" i="64"/>
  <c r="J80" i="64"/>
  <c r="J142" i="64"/>
  <c r="J87" i="64"/>
  <c r="J36" i="63"/>
  <c r="J91" i="63" s="1"/>
  <c r="J78" i="63"/>
  <c r="J79" i="63" s="1"/>
  <c r="J35" i="63"/>
  <c r="J77" i="63"/>
  <c r="J142" i="63"/>
  <c r="J87" i="63"/>
  <c r="J80" i="63"/>
  <c r="J36" i="61"/>
  <c r="J91" i="61" s="1"/>
  <c r="J78" i="61"/>
  <c r="J79" i="61" s="1"/>
  <c r="J35" i="61"/>
  <c r="J77" i="61"/>
  <c r="J142" i="61"/>
  <c r="J87" i="61"/>
  <c r="J80" i="61"/>
  <c r="J80" i="60"/>
  <c r="J35" i="60"/>
  <c r="J36" i="60"/>
  <c r="J91" i="60" s="1"/>
  <c r="J78" i="60"/>
  <c r="J79" i="60" s="1"/>
  <c r="J87" i="60"/>
  <c r="J77" i="60"/>
  <c r="J142" i="60"/>
  <c r="J142" i="59"/>
  <c r="J80" i="59"/>
  <c r="J78" i="59"/>
  <c r="J79" i="59" s="1"/>
  <c r="J35" i="59"/>
  <c r="J87" i="59"/>
  <c r="J77" i="59"/>
  <c r="J36" i="59"/>
  <c r="J91" i="59" s="1"/>
  <c r="J36" i="57"/>
  <c r="J91" i="57" s="1"/>
  <c r="J78" i="57"/>
  <c r="J79" i="57" s="1"/>
  <c r="J35" i="57"/>
  <c r="J77" i="57"/>
  <c r="J142" i="57"/>
  <c r="J87" i="57"/>
  <c r="J80" i="57"/>
  <c r="J101" i="57"/>
  <c r="J106" i="57" s="1"/>
  <c r="J101" i="56"/>
  <c r="J106" i="56" s="1"/>
  <c r="J29" i="56"/>
  <c r="J77" i="54"/>
  <c r="J142" i="54"/>
  <c r="J36" i="54"/>
  <c r="J91" i="54" s="1"/>
  <c r="J80" i="54"/>
  <c r="J35" i="54"/>
  <c r="J87" i="54"/>
  <c r="J78" i="54"/>
  <c r="J79" i="54" s="1"/>
  <c r="J101" i="54"/>
  <c r="J106" i="54" s="1"/>
  <c r="J29" i="55"/>
  <c r="J30" i="55" s="1"/>
  <c r="J29" i="53"/>
  <c r="J30" i="53" s="1"/>
  <c r="J29" i="51"/>
  <c r="J30" i="51" s="1"/>
  <c r="J29" i="50"/>
  <c r="J30" i="50" s="1"/>
  <c r="J70" i="49"/>
  <c r="J29" i="49"/>
  <c r="J30" i="49"/>
  <c r="J30" i="48"/>
  <c r="J29" i="47"/>
  <c r="J30" i="47" s="1"/>
  <c r="J53" i="47"/>
  <c r="J29" i="46"/>
  <c r="J30" i="46" s="1"/>
  <c r="J53" i="46"/>
  <c r="J70" i="46" s="1"/>
  <c r="J53" i="45"/>
  <c r="J70" i="45" s="1"/>
  <c r="J29" i="45"/>
  <c r="J30" i="45" s="1"/>
  <c r="J28" i="56" l="1"/>
  <c r="J30" i="56" s="1"/>
  <c r="J36" i="56" s="1"/>
  <c r="J91" i="56" s="1"/>
  <c r="J75" i="59"/>
  <c r="J76" i="59" s="1"/>
  <c r="J81" i="59" s="1"/>
  <c r="J144" i="59" s="1"/>
  <c r="J29" i="58"/>
  <c r="J30" i="58" s="1"/>
  <c r="J37" i="57"/>
  <c r="J68" i="57" s="1"/>
  <c r="J37" i="64"/>
  <c r="J68" i="64" s="1"/>
  <c r="J37" i="61"/>
  <c r="J42" i="61" s="1"/>
  <c r="J37" i="63"/>
  <c r="J68" i="63" s="1"/>
  <c r="J121" i="68"/>
  <c r="J122" i="68" s="1"/>
  <c r="J70" i="47"/>
  <c r="J84" i="64"/>
  <c r="J41" i="64"/>
  <c r="J75" i="64"/>
  <c r="J84" i="63"/>
  <c r="J45" i="63"/>
  <c r="J44" i="63"/>
  <c r="J42" i="63"/>
  <c r="J75" i="63"/>
  <c r="J75" i="61"/>
  <c r="J76" i="61" s="1"/>
  <c r="J81" i="61" s="1"/>
  <c r="J144" i="61" s="1"/>
  <c r="J84" i="61"/>
  <c r="J46" i="61"/>
  <c r="J84" i="60"/>
  <c r="J75" i="60"/>
  <c r="J37" i="60"/>
  <c r="J84" i="59"/>
  <c r="J37" i="59"/>
  <c r="J75" i="57"/>
  <c r="J84" i="57"/>
  <c r="J78" i="56"/>
  <c r="J79" i="56" s="1"/>
  <c r="J142" i="56"/>
  <c r="J87" i="56"/>
  <c r="J80" i="56"/>
  <c r="J80" i="55"/>
  <c r="J36" i="55"/>
  <c r="J91" i="55" s="1"/>
  <c r="J87" i="55"/>
  <c r="J78" i="55"/>
  <c r="J79" i="55" s="1"/>
  <c r="J35" i="55"/>
  <c r="J77" i="55"/>
  <c r="J142" i="55"/>
  <c r="J75" i="54"/>
  <c r="J84" i="54"/>
  <c r="J37" i="54"/>
  <c r="J80" i="53"/>
  <c r="J36" i="53"/>
  <c r="J91" i="53" s="1"/>
  <c r="J78" i="53"/>
  <c r="J79" i="53" s="1"/>
  <c r="J35" i="53"/>
  <c r="J77" i="53"/>
  <c r="J87" i="53"/>
  <c r="J142" i="53"/>
  <c r="J87" i="52"/>
  <c r="J80" i="52"/>
  <c r="J36" i="52"/>
  <c r="J91" i="52" s="1"/>
  <c r="J78" i="52"/>
  <c r="J79" i="52" s="1"/>
  <c r="J35" i="52"/>
  <c r="J77" i="52"/>
  <c r="J142" i="52"/>
  <c r="J80" i="51"/>
  <c r="J36" i="51"/>
  <c r="J91" i="51" s="1"/>
  <c r="J78" i="51"/>
  <c r="J79" i="51" s="1"/>
  <c r="J35" i="51"/>
  <c r="J77" i="51"/>
  <c r="J142" i="51"/>
  <c r="J87" i="51"/>
  <c r="J36" i="50"/>
  <c r="J91" i="50" s="1"/>
  <c r="J78" i="50"/>
  <c r="J79" i="50" s="1"/>
  <c r="J35" i="50"/>
  <c r="J142" i="50"/>
  <c r="J77" i="50"/>
  <c r="J87" i="50"/>
  <c r="J80" i="50"/>
  <c r="J80" i="49"/>
  <c r="J36" i="49"/>
  <c r="J91" i="49" s="1"/>
  <c r="J78" i="49"/>
  <c r="J79" i="49" s="1"/>
  <c r="J35" i="49"/>
  <c r="J87" i="49"/>
  <c r="J77" i="49"/>
  <c r="J142" i="49"/>
  <c r="J80" i="48"/>
  <c r="J36" i="48"/>
  <c r="J91" i="48" s="1"/>
  <c r="J78" i="48"/>
  <c r="J79" i="48" s="1"/>
  <c r="J35" i="48"/>
  <c r="J77" i="48"/>
  <c r="J87" i="48"/>
  <c r="J142" i="48"/>
  <c r="J78" i="47"/>
  <c r="J79" i="47" s="1"/>
  <c r="J77" i="47"/>
  <c r="J142" i="47"/>
  <c r="J36" i="47"/>
  <c r="J91" i="47" s="1"/>
  <c r="J35" i="47"/>
  <c r="J87" i="47"/>
  <c r="J80" i="47"/>
  <c r="J77" i="46"/>
  <c r="J36" i="46"/>
  <c r="J91" i="46" s="1"/>
  <c r="J142" i="46"/>
  <c r="J87" i="46"/>
  <c r="J80" i="46"/>
  <c r="J78" i="46"/>
  <c r="J79" i="46" s="1"/>
  <c r="J35" i="46"/>
  <c r="J37" i="46" s="1"/>
  <c r="J68" i="46" s="1"/>
  <c r="J142" i="45"/>
  <c r="J87" i="45"/>
  <c r="J80" i="45"/>
  <c r="J77" i="45"/>
  <c r="J36" i="45"/>
  <c r="J91" i="45" s="1"/>
  <c r="J78" i="45"/>
  <c r="J79" i="45" s="1"/>
  <c r="J35" i="45"/>
  <c r="J45" i="57" l="1"/>
  <c r="J35" i="56"/>
  <c r="J37" i="56" s="1"/>
  <c r="J68" i="56" s="1"/>
  <c r="J42" i="57"/>
  <c r="J41" i="57"/>
  <c r="J77" i="56"/>
  <c r="J47" i="57"/>
  <c r="J48" i="57"/>
  <c r="J48" i="63"/>
  <c r="J47" i="63"/>
  <c r="J46" i="63"/>
  <c r="J43" i="63"/>
  <c r="J41" i="63"/>
  <c r="J77" i="58"/>
  <c r="J87" i="58"/>
  <c r="J142" i="58"/>
  <c r="J36" i="58"/>
  <c r="J91" i="58" s="1"/>
  <c r="J78" i="58"/>
  <c r="J79" i="58" s="1"/>
  <c r="J35" i="58"/>
  <c r="J75" i="58" s="1"/>
  <c r="J76" i="58" s="1"/>
  <c r="J81" i="58" s="1"/>
  <c r="J144" i="58" s="1"/>
  <c r="J80" i="58"/>
  <c r="J75" i="50"/>
  <c r="J76" i="50" s="1"/>
  <c r="J68" i="61"/>
  <c r="J41" i="61"/>
  <c r="J46" i="64"/>
  <c r="J37" i="50"/>
  <c r="J43" i="50" s="1"/>
  <c r="J43" i="57"/>
  <c r="J44" i="61"/>
  <c r="J43" i="64"/>
  <c r="J46" i="57"/>
  <c r="J49" i="57" s="1"/>
  <c r="J69" i="57" s="1"/>
  <c r="J71" i="57" s="1"/>
  <c r="J143" i="57" s="1"/>
  <c r="J47" i="61"/>
  <c r="J43" i="61"/>
  <c r="J47" i="64"/>
  <c r="J45" i="61"/>
  <c r="J48" i="64"/>
  <c r="J37" i="52"/>
  <c r="J68" i="52" s="1"/>
  <c r="J45" i="64"/>
  <c r="J37" i="45"/>
  <c r="J68" i="45" s="1"/>
  <c r="J37" i="49"/>
  <c r="J68" i="49" s="1"/>
  <c r="J37" i="53"/>
  <c r="J68" i="53" s="1"/>
  <c r="J42" i="64"/>
  <c r="J37" i="55"/>
  <c r="J68" i="55" s="1"/>
  <c r="J44" i="57"/>
  <c r="J48" i="61"/>
  <c r="J44" i="64"/>
  <c r="J123" i="68"/>
  <c r="J92" i="64"/>
  <c r="J90" i="64"/>
  <c r="J89" i="64"/>
  <c r="J88" i="64"/>
  <c r="J76" i="64"/>
  <c r="J81" i="64" s="1"/>
  <c r="J144" i="64" s="1"/>
  <c r="J76" i="63"/>
  <c r="J81" i="63" s="1"/>
  <c r="J144" i="63" s="1"/>
  <c r="J92" i="63"/>
  <c r="J88" i="63"/>
  <c r="J90" i="63"/>
  <c r="J89" i="63"/>
  <c r="J89" i="61"/>
  <c r="J92" i="61"/>
  <c r="J90" i="61"/>
  <c r="J88" i="61"/>
  <c r="J92" i="60"/>
  <c r="J90" i="60"/>
  <c r="J89" i="60"/>
  <c r="J88" i="60"/>
  <c r="J68" i="60"/>
  <c r="J48" i="60"/>
  <c r="J45" i="60"/>
  <c r="J41" i="60"/>
  <c r="J44" i="60"/>
  <c r="J47" i="60"/>
  <c r="J46" i="60"/>
  <c r="J42" i="60"/>
  <c r="J43" i="60"/>
  <c r="J76" i="60"/>
  <c r="J81" i="60" s="1"/>
  <c r="J144" i="60" s="1"/>
  <c r="J68" i="59"/>
  <c r="J43" i="59"/>
  <c r="J42" i="59"/>
  <c r="J48" i="59"/>
  <c r="J46" i="59"/>
  <c r="J44" i="59"/>
  <c r="J41" i="59"/>
  <c r="J47" i="59"/>
  <c r="J45" i="59"/>
  <c r="J90" i="59"/>
  <c r="J88" i="59"/>
  <c r="J89" i="59"/>
  <c r="J92" i="59"/>
  <c r="J92" i="57"/>
  <c r="J90" i="57"/>
  <c r="J88" i="57"/>
  <c r="J89" i="57"/>
  <c r="J76" i="57"/>
  <c r="J81" i="57" s="1"/>
  <c r="J144" i="57" s="1"/>
  <c r="J75" i="56"/>
  <c r="J76" i="54"/>
  <c r="J81" i="54" s="1"/>
  <c r="J144" i="54" s="1"/>
  <c r="J75" i="55"/>
  <c r="J84" i="55"/>
  <c r="J45" i="55"/>
  <c r="J90" i="54"/>
  <c r="J89" i="54"/>
  <c r="J88" i="54"/>
  <c r="J92" i="54"/>
  <c r="J68" i="54"/>
  <c r="J47" i="54"/>
  <c r="J42" i="54"/>
  <c r="J45" i="54"/>
  <c r="J48" i="54"/>
  <c r="J41" i="54"/>
  <c r="J46" i="54"/>
  <c r="J44" i="54"/>
  <c r="J43" i="54"/>
  <c r="J42" i="53"/>
  <c r="J75" i="53"/>
  <c r="J45" i="53"/>
  <c r="J47" i="53"/>
  <c r="J84" i="53"/>
  <c r="J46" i="53"/>
  <c r="J47" i="52"/>
  <c r="J75" i="52"/>
  <c r="J84" i="52"/>
  <c r="J75" i="51"/>
  <c r="J84" i="51"/>
  <c r="J37" i="51"/>
  <c r="J84" i="50"/>
  <c r="J44" i="50"/>
  <c r="J45" i="50"/>
  <c r="J48" i="50"/>
  <c r="J41" i="50"/>
  <c r="J42" i="50"/>
  <c r="J45" i="49"/>
  <c r="J43" i="49"/>
  <c r="J75" i="49"/>
  <c r="J41" i="49"/>
  <c r="J44" i="49"/>
  <c r="J42" i="49"/>
  <c r="J84" i="49"/>
  <c r="J46" i="49"/>
  <c r="J48" i="49"/>
  <c r="J37" i="48"/>
  <c r="J68" i="48" s="1"/>
  <c r="J84" i="48"/>
  <c r="J75" i="48"/>
  <c r="J37" i="47"/>
  <c r="J68" i="47" s="1"/>
  <c r="J43" i="47"/>
  <c r="J84" i="47"/>
  <c r="J75" i="47"/>
  <c r="J41" i="46"/>
  <c r="J44" i="46"/>
  <c r="J43" i="46"/>
  <c r="J48" i="46"/>
  <c r="J46" i="46"/>
  <c r="J84" i="46"/>
  <c r="J45" i="46"/>
  <c r="J42" i="46"/>
  <c r="J47" i="46"/>
  <c r="J75" i="46"/>
  <c r="J84" i="45"/>
  <c r="J75" i="45"/>
  <c r="J42" i="55" l="1"/>
  <c r="J49" i="63"/>
  <c r="J69" i="63" s="1"/>
  <c r="J71" i="63" s="1"/>
  <c r="J143" i="63" s="1"/>
  <c r="J43" i="52"/>
  <c r="J48" i="52"/>
  <c r="J84" i="56"/>
  <c r="J41" i="55"/>
  <c r="J41" i="53"/>
  <c r="J48" i="55"/>
  <c r="J44" i="55"/>
  <c r="J46" i="55"/>
  <c r="J49" i="55" s="1"/>
  <c r="J69" i="55" s="1"/>
  <c r="J71" i="55" s="1"/>
  <c r="J48" i="53"/>
  <c r="J44" i="53"/>
  <c r="J49" i="53" s="1"/>
  <c r="J69" i="53" s="1"/>
  <c r="J71" i="53" s="1"/>
  <c r="J43" i="55"/>
  <c r="J49" i="64"/>
  <c r="J69" i="64" s="1"/>
  <c r="J71" i="64" s="1"/>
  <c r="J143" i="64" s="1"/>
  <c r="J47" i="55"/>
  <c r="J43" i="53"/>
  <c r="J47" i="49"/>
  <c r="J37" i="58"/>
  <c r="J42" i="58" s="1"/>
  <c r="J93" i="64"/>
  <c r="J95" i="64" s="1"/>
  <c r="J105" i="64" s="1"/>
  <c r="J107" i="64" s="1"/>
  <c r="J49" i="61"/>
  <c r="J69" i="61" s="1"/>
  <c r="J71" i="61" s="1"/>
  <c r="J143" i="61" s="1"/>
  <c r="J93" i="60"/>
  <c r="J95" i="60" s="1"/>
  <c r="J105" i="60" s="1"/>
  <c r="J107" i="60" s="1"/>
  <c r="J145" i="60" s="1"/>
  <c r="J42" i="47"/>
  <c r="J41" i="47"/>
  <c r="J46" i="52"/>
  <c r="J44" i="45"/>
  <c r="J41" i="45"/>
  <c r="J46" i="47"/>
  <c r="J45" i="52"/>
  <c r="J42" i="52"/>
  <c r="J68" i="50"/>
  <c r="J46" i="50"/>
  <c r="J49" i="50" s="1"/>
  <c r="J69" i="50" s="1"/>
  <c r="J71" i="50" s="1"/>
  <c r="J47" i="50"/>
  <c r="J47" i="47"/>
  <c r="J49" i="54"/>
  <c r="J69" i="54" s="1"/>
  <c r="J71" i="54" s="1"/>
  <c r="J45" i="47"/>
  <c r="J44" i="52"/>
  <c r="J42" i="45"/>
  <c r="J49" i="49"/>
  <c r="J69" i="49" s="1"/>
  <c r="J71" i="49" s="1"/>
  <c r="J143" i="49" s="1"/>
  <c r="J46" i="45"/>
  <c r="J81" i="50"/>
  <c r="J144" i="50" s="1"/>
  <c r="J84" i="58"/>
  <c r="J88" i="58" s="1"/>
  <c r="J47" i="45"/>
  <c r="J41" i="52"/>
  <c r="J43" i="58"/>
  <c r="J45" i="58"/>
  <c r="J48" i="45"/>
  <c r="J45" i="45"/>
  <c r="J43" i="45"/>
  <c r="J48" i="47"/>
  <c r="J44" i="47"/>
  <c r="J49" i="47" s="1"/>
  <c r="J69" i="47" s="1"/>
  <c r="J71" i="47" s="1"/>
  <c r="J44" i="56"/>
  <c r="J132" i="68"/>
  <c r="J127" i="68"/>
  <c r="J126" i="68"/>
  <c r="J93" i="63"/>
  <c r="J95" i="63" s="1"/>
  <c r="J93" i="61"/>
  <c r="J95" i="61" s="1"/>
  <c r="J49" i="60"/>
  <c r="J69" i="60" s="1"/>
  <c r="J71" i="60" s="1"/>
  <c r="J49" i="59"/>
  <c r="J69" i="59" s="1"/>
  <c r="J71" i="59" s="1"/>
  <c r="J93" i="59"/>
  <c r="J95" i="59" s="1"/>
  <c r="J93" i="57"/>
  <c r="J95" i="57" s="1"/>
  <c r="J41" i="56"/>
  <c r="J48" i="56"/>
  <c r="J42" i="56"/>
  <c r="J43" i="56"/>
  <c r="J47" i="56"/>
  <c r="J46" i="56"/>
  <c r="J45" i="56"/>
  <c r="J92" i="56"/>
  <c r="J90" i="56"/>
  <c r="J89" i="56"/>
  <c r="J88" i="56"/>
  <c r="J76" i="56"/>
  <c r="J81" i="56" s="1"/>
  <c r="J144" i="56" s="1"/>
  <c r="J76" i="55"/>
  <c r="J81" i="55" s="1"/>
  <c r="J144" i="55" s="1"/>
  <c r="J92" i="55"/>
  <c r="J88" i="55"/>
  <c r="J90" i="55"/>
  <c r="J89" i="55"/>
  <c r="J93" i="54"/>
  <c r="J95" i="54" s="1"/>
  <c r="J90" i="53"/>
  <c r="J92" i="53"/>
  <c r="J88" i="53"/>
  <c r="J89" i="53"/>
  <c r="J76" i="53"/>
  <c r="J81" i="53" s="1"/>
  <c r="J144" i="53" s="1"/>
  <c r="J92" i="52"/>
  <c r="J90" i="52"/>
  <c r="J88" i="52"/>
  <c r="J89" i="52"/>
  <c r="J76" i="52"/>
  <c r="J81" i="52" s="1"/>
  <c r="J144" i="52" s="1"/>
  <c r="J76" i="51"/>
  <c r="J81" i="51" s="1"/>
  <c r="J144" i="51" s="1"/>
  <c r="J68" i="51"/>
  <c r="J43" i="51"/>
  <c r="J48" i="51"/>
  <c r="J41" i="51"/>
  <c r="J47" i="51"/>
  <c r="J45" i="51"/>
  <c r="J44" i="51"/>
  <c r="J42" i="51"/>
  <c r="J46" i="51"/>
  <c r="J92" i="51"/>
  <c r="J90" i="51"/>
  <c r="J89" i="51"/>
  <c r="J88" i="51"/>
  <c r="J89" i="50"/>
  <c r="J88" i="50"/>
  <c r="J92" i="50"/>
  <c r="J90" i="50"/>
  <c r="J76" i="49"/>
  <c r="J81" i="49" s="1"/>
  <c r="J144" i="49" s="1"/>
  <c r="J89" i="49"/>
  <c r="J92" i="49"/>
  <c r="J88" i="49"/>
  <c r="J90" i="49"/>
  <c r="J47" i="48"/>
  <c r="J41" i="48"/>
  <c r="J42" i="48"/>
  <c r="J46" i="48"/>
  <c r="J45" i="48"/>
  <c r="J48" i="48"/>
  <c r="J44" i="48"/>
  <c r="J43" i="48"/>
  <c r="J76" i="48"/>
  <c r="J81" i="48" s="1"/>
  <c r="J144" i="48" s="1"/>
  <c r="J92" i="48"/>
  <c r="J90" i="48"/>
  <c r="J89" i="48"/>
  <c r="J88" i="48"/>
  <c r="J92" i="47"/>
  <c r="J90" i="47"/>
  <c r="J89" i="47"/>
  <c r="J88" i="47"/>
  <c r="J76" i="47"/>
  <c r="J81" i="47" s="1"/>
  <c r="J144" i="47" s="1"/>
  <c r="J49" i="46"/>
  <c r="J69" i="46" s="1"/>
  <c r="J71" i="46" s="1"/>
  <c r="J143" i="46" s="1"/>
  <c r="J76" i="46"/>
  <c r="J81" i="46" s="1"/>
  <c r="J144" i="46" s="1"/>
  <c r="J92" i="46"/>
  <c r="J90" i="46"/>
  <c r="J89" i="46"/>
  <c r="J88" i="46"/>
  <c r="J76" i="45"/>
  <c r="J81" i="45" s="1"/>
  <c r="J144" i="45" s="1"/>
  <c r="J89" i="45"/>
  <c r="J88" i="45"/>
  <c r="J92" i="45"/>
  <c r="J90" i="45"/>
  <c r="J57" i="41"/>
  <c r="J24" i="41"/>
  <c r="J53" i="41" s="1"/>
  <c r="I135" i="41"/>
  <c r="J115" i="41"/>
  <c r="J146" i="41" s="1"/>
  <c r="I87" i="41"/>
  <c r="I49" i="41"/>
  <c r="J101" i="41" s="1"/>
  <c r="J106" i="41" s="1"/>
  <c r="J92" i="58" l="1"/>
  <c r="J46" i="58"/>
  <c r="J89" i="58"/>
  <c r="J90" i="58"/>
  <c r="J68" i="58"/>
  <c r="J41" i="58"/>
  <c r="J47" i="58"/>
  <c r="J48" i="58"/>
  <c r="J44" i="58"/>
  <c r="J49" i="52"/>
  <c r="J69" i="52" s="1"/>
  <c r="J71" i="52" s="1"/>
  <c r="J143" i="52" s="1"/>
  <c r="J49" i="45"/>
  <c r="J69" i="45" s="1"/>
  <c r="J71" i="45" s="1"/>
  <c r="J143" i="45" s="1"/>
  <c r="J49" i="48"/>
  <c r="J69" i="48" s="1"/>
  <c r="J71" i="48" s="1"/>
  <c r="J143" i="48" s="1"/>
  <c r="J49" i="56"/>
  <c r="J69" i="56" s="1"/>
  <c r="J71" i="56" s="1"/>
  <c r="J143" i="56" s="1"/>
  <c r="J135" i="68"/>
  <c r="J133" i="68"/>
  <c r="J148" i="68" s="1"/>
  <c r="J149" i="68" s="1"/>
  <c r="C19" i="44" s="1"/>
  <c r="E19" i="44" s="1"/>
  <c r="G19" i="44" s="1"/>
  <c r="H19" i="44" s="1"/>
  <c r="J145" i="64"/>
  <c r="J147" i="64" s="1"/>
  <c r="J119" i="64"/>
  <c r="J120" i="64" s="1"/>
  <c r="J121" i="64" s="1"/>
  <c r="J122" i="64" s="1"/>
  <c r="J123" i="64" s="1"/>
  <c r="J105" i="63"/>
  <c r="J107" i="63" s="1"/>
  <c r="J105" i="61"/>
  <c r="J107" i="61" s="1"/>
  <c r="J143" i="60"/>
  <c r="J147" i="60" s="1"/>
  <c r="J119" i="60"/>
  <c r="J120" i="60" s="1"/>
  <c r="J143" i="59"/>
  <c r="J105" i="59"/>
  <c r="J107" i="59" s="1"/>
  <c r="J93" i="58"/>
  <c r="J95" i="58" s="1"/>
  <c r="J105" i="58" s="1"/>
  <c r="J107" i="58" s="1"/>
  <c r="J145" i="58" s="1"/>
  <c r="J105" i="57"/>
  <c r="J107" i="57" s="1"/>
  <c r="J93" i="56"/>
  <c r="J95" i="56" s="1"/>
  <c r="J105" i="54"/>
  <c r="J107" i="54" s="1"/>
  <c r="J143" i="54"/>
  <c r="J143" i="55"/>
  <c r="J93" i="55"/>
  <c r="J95" i="55" s="1"/>
  <c r="J143" i="53"/>
  <c r="J93" i="53"/>
  <c r="J95" i="53" s="1"/>
  <c r="J93" i="52"/>
  <c r="J95" i="52" s="1"/>
  <c r="J49" i="51"/>
  <c r="J69" i="51" s="1"/>
  <c r="J71" i="51" s="1"/>
  <c r="J93" i="51"/>
  <c r="J95" i="51" s="1"/>
  <c r="J143" i="50"/>
  <c r="J93" i="50"/>
  <c r="J95" i="50" s="1"/>
  <c r="J93" i="49"/>
  <c r="J95" i="49" s="1"/>
  <c r="J93" i="48"/>
  <c r="J93" i="47"/>
  <c r="J143" i="47"/>
  <c r="J93" i="46"/>
  <c r="J95" i="46" s="1"/>
  <c r="J93" i="45"/>
  <c r="J95" i="45" s="1"/>
  <c r="J49" i="58" l="1"/>
  <c r="J69" i="58" s="1"/>
  <c r="J71" i="58" s="1"/>
  <c r="J143" i="58" s="1"/>
  <c r="J147" i="58" s="1"/>
  <c r="J95" i="47"/>
  <c r="J105" i="47" s="1"/>
  <c r="J107" i="47" s="1"/>
  <c r="J95" i="48"/>
  <c r="J105" i="48" s="1"/>
  <c r="J107" i="48" s="1"/>
  <c r="J132" i="64"/>
  <c r="J126" i="64"/>
  <c r="J127" i="64"/>
  <c r="J145" i="63"/>
  <c r="J147" i="63" s="1"/>
  <c r="J119" i="63"/>
  <c r="J120" i="63" s="1"/>
  <c r="J145" i="61"/>
  <c r="J147" i="61" s="1"/>
  <c r="J119" i="61"/>
  <c r="J120" i="61" s="1"/>
  <c r="J121" i="60"/>
  <c r="J122" i="60" s="1"/>
  <c r="J123" i="60" s="1"/>
  <c r="J145" i="59"/>
  <c r="J147" i="59" s="1"/>
  <c r="J119" i="59"/>
  <c r="J120" i="59" s="1"/>
  <c r="J145" i="57"/>
  <c r="J147" i="57" s="1"/>
  <c r="J119" i="57"/>
  <c r="J120" i="57" s="1"/>
  <c r="J105" i="56"/>
  <c r="J107" i="56" s="1"/>
  <c r="J145" i="54"/>
  <c r="J119" i="54"/>
  <c r="J120" i="54" s="1"/>
  <c r="J105" i="55"/>
  <c r="J107" i="55" s="1"/>
  <c r="J147" i="54"/>
  <c r="J105" i="53"/>
  <c r="J107" i="53" s="1"/>
  <c r="J105" i="52"/>
  <c r="J107" i="52" s="1"/>
  <c r="J143" i="51"/>
  <c r="J105" i="51"/>
  <c r="J107" i="51" s="1"/>
  <c r="J105" i="50"/>
  <c r="J107" i="50" s="1"/>
  <c r="J105" i="49"/>
  <c r="J107" i="49" s="1"/>
  <c r="J105" i="46"/>
  <c r="J107" i="46" s="1"/>
  <c r="J105" i="45"/>
  <c r="J107" i="45" s="1"/>
  <c r="J29" i="41"/>
  <c r="J119" i="58" l="1"/>
  <c r="J120" i="58" s="1"/>
  <c r="J121" i="58" s="1"/>
  <c r="J122" i="58" s="1"/>
  <c r="J123" i="58" s="1"/>
  <c r="J145" i="48"/>
  <c r="J147" i="48" s="1"/>
  <c r="J119" i="48"/>
  <c r="J120" i="48" s="1"/>
  <c r="J121" i="48" s="1"/>
  <c r="J122" i="48" s="1"/>
  <c r="J123" i="48" s="1"/>
  <c r="J126" i="48" s="1"/>
  <c r="J119" i="47"/>
  <c r="J120" i="47" s="1"/>
  <c r="J121" i="47" s="1"/>
  <c r="J122" i="47" s="1"/>
  <c r="J145" i="47"/>
  <c r="J147" i="47" s="1"/>
  <c r="J133" i="64"/>
  <c r="J148" i="64" s="1"/>
  <c r="J149" i="64" s="1"/>
  <c r="C22" i="44" s="1"/>
  <c r="E22" i="44" s="1"/>
  <c r="G22" i="44" s="1"/>
  <c r="H22" i="44" s="1"/>
  <c r="J135" i="64"/>
  <c r="J121" i="63"/>
  <c r="J122" i="63" s="1"/>
  <c r="J121" i="61"/>
  <c r="J122" i="61" s="1"/>
  <c r="J123" i="61" s="1"/>
  <c r="J126" i="60"/>
  <c r="J132" i="60"/>
  <c r="J127" i="60"/>
  <c r="J121" i="59"/>
  <c r="J122" i="59" s="1"/>
  <c r="J123" i="59" s="1"/>
  <c r="J121" i="57"/>
  <c r="J122" i="57" s="1"/>
  <c r="J123" i="57" s="1"/>
  <c r="J145" i="56"/>
  <c r="J147" i="56" s="1"/>
  <c r="J119" i="56"/>
  <c r="J120" i="56" s="1"/>
  <c r="J145" i="55"/>
  <c r="J147" i="55" s="1"/>
  <c r="J119" i="55"/>
  <c r="J120" i="55" s="1"/>
  <c r="J121" i="55" s="1"/>
  <c r="J122" i="55" s="1"/>
  <c r="J121" i="54"/>
  <c r="J122" i="54" s="1"/>
  <c r="J123" i="54" s="1"/>
  <c r="J145" i="53"/>
  <c r="J147" i="53" s="1"/>
  <c r="J119" i="53"/>
  <c r="J120" i="53" s="1"/>
  <c r="J145" i="52"/>
  <c r="J147" i="52" s="1"/>
  <c r="J119" i="52"/>
  <c r="J120" i="52" s="1"/>
  <c r="J145" i="51"/>
  <c r="J147" i="51" s="1"/>
  <c r="J119" i="51"/>
  <c r="J120" i="51" s="1"/>
  <c r="J145" i="50"/>
  <c r="J147" i="50" s="1"/>
  <c r="J119" i="50"/>
  <c r="J120" i="50" s="1"/>
  <c r="J145" i="49"/>
  <c r="J147" i="49" s="1"/>
  <c r="J119" i="49"/>
  <c r="J120" i="49" s="1"/>
  <c r="J121" i="49" s="1"/>
  <c r="J122" i="49" s="1"/>
  <c r="J123" i="49" s="1"/>
  <c r="J145" i="46"/>
  <c r="J147" i="46" s="1"/>
  <c r="J119" i="46"/>
  <c r="J120" i="46" s="1"/>
  <c r="J145" i="45"/>
  <c r="J147" i="45" s="1"/>
  <c r="J119" i="45"/>
  <c r="J120" i="45" s="1"/>
  <c r="J121" i="45" s="1"/>
  <c r="J122" i="45" s="1"/>
  <c r="J30" i="41"/>
  <c r="J123" i="47" l="1"/>
  <c r="J126" i="47" s="1"/>
  <c r="J133" i="60"/>
  <c r="J148" i="60" s="1"/>
  <c r="J149" i="60" s="1"/>
  <c r="C7" i="44" s="1"/>
  <c r="E7" i="44" s="1"/>
  <c r="G7" i="44" s="1"/>
  <c r="H7" i="44" s="1"/>
  <c r="J123" i="63"/>
  <c r="J132" i="61"/>
  <c r="J127" i="61"/>
  <c r="J126" i="61"/>
  <c r="J135" i="60"/>
  <c r="J127" i="59"/>
  <c r="J126" i="59"/>
  <c r="J132" i="59"/>
  <c r="J132" i="48"/>
  <c r="J127" i="48"/>
  <c r="J126" i="58"/>
  <c r="J132" i="58"/>
  <c r="J127" i="58"/>
  <c r="J132" i="57"/>
  <c r="J127" i="57"/>
  <c r="J126" i="57"/>
  <c r="J121" i="56"/>
  <c r="J122" i="56" s="1"/>
  <c r="J123" i="56" s="1"/>
  <c r="J126" i="54"/>
  <c r="J127" i="54"/>
  <c r="J132" i="54"/>
  <c r="J123" i="55"/>
  <c r="J121" i="53"/>
  <c r="J122" i="53" s="1"/>
  <c r="J121" i="52"/>
  <c r="J122" i="52" s="1"/>
  <c r="J123" i="52" s="1"/>
  <c r="J121" i="51"/>
  <c r="J122" i="51" s="1"/>
  <c r="J121" i="50"/>
  <c r="J122" i="50" s="1"/>
  <c r="J123" i="50" s="1"/>
  <c r="J126" i="49"/>
  <c r="J132" i="49"/>
  <c r="J127" i="49"/>
  <c r="J121" i="46"/>
  <c r="J122" i="46" s="1"/>
  <c r="J123" i="46" s="1"/>
  <c r="J123" i="45"/>
  <c r="J78" i="41"/>
  <c r="J79" i="41" s="1"/>
  <c r="J70" i="41"/>
  <c r="J36" i="41"/>
  <c r="J91" i="41" s="1"/>
  <c r="J87" i="41"/>
  <c r="J77" i="41"/>
  <c r="J80" i="41"/>
  <c r="J142" i="41"/>
  <c r="J35" i="41"/>
  <c r="J127" i="47" l="1"/>
  <c r="J132" i="47"/>
  <c r="J84" i="41"/>
  <c r="J127" i="63"/>
  <c r="J126" i="63"/>
  <c r="J132" i="63"/>
  <c r="J135" i="61"/>
  <c r="J133" i="61"/>
  <c r="J148" i="61" s="1"/>
  <c r="J149" i="61" s="1"/>
  <c r="C9" i="44" s="1"/>
  <c r="E9" i="44" s="1"/>
  <c r="G9" i="44" s="1"/>
  <c r="H9" i="44" s="1"/>
  <c r="J135" i="59"/>
  <c r="J133" i="59"/>
  <c r="J148" i="59" s="1"/>
  <c r="J149" i="59" s="1"/>
  <c r="C5" i="44" s="1"/>
  <c r="E5" i="44" s="1"/>
  <c r="G5" i="44" s="1"/>
  <c r="H5" i="44" s="1"/>
  <c r="J133" i="48"/>
  <c r="J148" i="48" s="1"/>
  <c r="J149" i="48" s="1"/>
  <c r="J135" i="48"/>
  <c r="J133" i="54"/>
  <c r="J148" i="54" s="1"/>
  <c r="J149" i="54" s="1"/>
  <c r="J133" i="49"/>
  <c r="J148" i="49" s="1"/>
  <c r="J149" i="49" s="1"/>
  <c r="J135" i="57"/>
  <c r="J135" i="49"/>
  <c r="J133" i="58"/>
  <c r="J148" i="58" s="1"/>
  <c r="J149" i="58" s="1"/>
  <c r="C23" i="44" s="1"/>
  <c r="E23" i="44" s="1"/>
  <c r="G23" i="44" s="1"/>
  <c r="J135" i="58"/>
  <c r="J133" i="57"/>
  <c r="J148" i="57" s="1"/>
  <c r="J149" i="57" s="1"/>
  <c r="J126" i="56"/>
  <c r="J132" i="56"/>
  <c r="J127" i="56"/>
  <c r="J127" i="55"/>
  <c r="J126" i="55"/>
  <c r="J132" i="55"/>
  <c r="J135" i="54"/>
  <c r="J123" i="53"/>
  <c r="J127" i="52"/>
  <c r="J126" i="52"/>
  <c r="J132" i="52"/>
  <c r="J123" i="51"/>
  <c r="J132" i="50"/>
  <c r="J127" i="50"/>
  <c r="J126" i="50"/>
  <c r="J126" i="46"/>
  <c r="J132" i="46"/>
  <c r="J127" i="46"/>
  <c r="J127" i="45"/>
  <c r="J126" i="45"/>
  <c r="J132" i="45"/>
  <c r="J88" i="41"/>
  <c r="J92" i="41"/>
  <c r="J90" i="41"/>
  <c r="J89" i="41"/>
  <c r="J37" i="41"/>
  <c r="J75" i="41"/>
  <c r="J76" i="41" s="1"/>
  <c r="J135" i="47" l="1"/>
  <c r="J133" i="47"/>
  <c r="J148" i="47" s="1"/>
  <c r="J149" i="47" s="1"/>
  <c r="C3" i="44" s="1"/>
  <c r="E3" i="44" s="1"/>
  <c r="G3" i="44" s="1"/>
  <c r="H3" i="44" s="1"/>
  <c r="J93" i="41"/>
  <c r="J95" i="41" s="1"/>
  <c r="J105" i="41" s="1"/>
  <c r="J107" i="41" s="1"/>
  <c r="J145" i="41" s="1"/>
  <c r="C21" i="44"/>
  <c r="E21" i="44" s="1"/>
  <c r="G21" i="44" s="1"/>
  <c r="H21" i="44" s="1"/>
  <c r="C16" i="44"/>
  <c r="E16" i="44" s="1"/>
  <c r="G16" i="44" s="1"/>
  <c r="H16" i="44" s="1"/>
  <c r="C6" i="44"/>
  <c r="E6" i="44" s="1"/>
  <c r="G6" i="44" s="1"/>
  <c r="H6" i="44" s="1"/>
  <c r="C4" i="44"/>
  <c r="E4" i="44" s="1"/>
  <c r="G4" i="44" s="1"/>
  <c r="H4" i="44" s="1"/>
  <c r="J135" i="63"/>
  <c r="J133" i="63"/>
  <c r="J148" i="63" s="1"/>
  <c r="J149" i="63" s="1"/>
  <c r="C17" i="44" s="1"/>
  <c r="E17" i="44" s="1"/>
  <c r="G17" i="44" s="1"/>
  <c r="H17" i="44" s="1"/>
  <c r="J133" i="46"/>
  <c r="J148" i="46" s="1"/>
  <c r="J149" i="46" s="1"/>
  <c r="C13" i="44" s="1"/>
  <c r="E13" i="44" s="1"/>
  <c r="G13" i="44" s="1"/>
  <c r="H13" i="44" s="1"/>
  <c r="J135" i="50"/>
  <c r="J133" i="52"/>
  <c r="J148" i="52" s="1"/>
  <c r="J149" i="52" s="1"/>
  <c r="C14" i="44" s="1"/>
  <c r="E14" i="44" s="1"/>
  <c r="G14" i="44" s="1"/>
  <c r="H14" i="44" s="1"/>
  <c r="H23" i="44"/>
  <c r="J133" i="56"/>
  <c r="J148" i="56" s="1"/>
  <c r="J149" i="56" s="1"/>
  <c r="J135" i="56"/>
  <c r="J135" i="55"/>
  <c r="J133" i="55"/>
  <c r="J148" i="55" s="1"/>
  <c r="J149" i="55" s="1"/>
  <c r="C18" i="44" s="1"/>
  <c r="E18" i="44" s="1"/>
  <c r="G18" i="44" s="1"/>
  <c r="H18" i="44" s="1"/>
  <c r="J127" i="53"/>
  <c r="J126" i="53"/>
  <c r="J132" i="53"/>
  <c r="J135" i="52"/>
  <c r="J127" i="51"/>
  <c r="J126" i="51"/>
  <c r="J132" i="51"/>
  <c r="J133" i="50"/>
  <c r="J148" i="50" s="1"/>
  <c r="J149" i="50" s="1"/>
  <c r="C8" i="44" s="1"/>
  <c r="E8" i="44" s="1"/>
  <c r="G8" i="44" s="1"/>
  <c r="H8" i="44" s="1"/>
  <c r="J135" i="46"/>
  <c r="J135" i="45"/>
  <c r="J133" i="45"/>
  <c r="J148" i="45" s="1"/>
  <c r="J149" i="45" s="1"/>
  <c r="C12" i="44" s="1"/>
  <c r="E12" i="44" s="1"/>
  <c r="G12" i="44" s="1"/>
  <c r="H12" i="44" s="1"/>
  <c r="J68" i="41"/>
  <c r="J45" i="41"/>
  <c r="J41" i="41"/>
  <c r="J42" i="41"/>
  <c r="J47" i="41"/>
  <c r="J44" i="41"/>
  <c r="J46" i="41"/>
  <c r="J48" i="41"/>
  <c r="J43" i="41"/>
  <c r="J81" i="41"/>
  <c r="J144" i="41" s="1"/>
  <c r="J49" i="41" l="1"/>
  <c r="J69" i="41" s="1"/>
  <c r="J71" i="41" s="1"/>
  <c r="C20" i="44"/>
  <c r="E20" i="44" s="1"/>
  <c r="G20" i="44" s="1"/>
  <c r="H20" i="44" s="1"/>
  <c r="J135" i="53"/>
  <c r="J133" i="53"/>
  <c r="J148" i="53" s="1"/>
  <c r="J149" i="53" s="1"/>
  <c r="C15" i="44" s="1"/>
  <c r="E15" i="44" s="1"/>
  <c r="G15" i="44" s="1"/>
  <c r="H15" i="44" s="1"/>
  <c r="J135" i="51"/>
  <c r="J133" i="51"/>
  <c r="J148" i="51" s="1"/>
  <c r="J149" i="51" s="1"/>
  <c r="C10" i="44" l="1"/>
  <c r="E10" i="44" s="1"/>
  <c r="G10" i="44" s="1"/>
  <c r="H10" i="44" s="1"/>
  <c r="J119" i="41"/>
  <c r="J120" i="41" s="1"/>
  <c r="J121" i="41" s="1"/>
  <c r="J122" i="41" s="1"/>
  <c r="J123" i="41" s="1"/>
  <c r="J143" i="41"/>
  <c r="J147" i="41" s="1"/>
  <c r="J132" i="41" l="1"/>
  <c r="J126" i="41"/>
  <c r="J127" i="41"/>
  <c r="J135" i="41" l="1"/>
  <c r="J133" i="41"/>
  <c r="J148" i="41" s="1"/>
  <c r="J149" i="41" s="1"/>
  <c r="C11" i="44" s="1"/>
  <c r="E11" i="44" s="1"/>
  <c r="G11" i="44" s="1"/>
  <c r="H11" i="44" l="1"/>
  <c r="H24" i="44" s="1"/>
  <c r="J22" i="44" s="1"/>
  <c r="G24" i="44"/>
  <c r="H25" i="44" l="1"/>
  <c r="H26" i="44"/>
  <c r="G29" i="44"/>
  <c r="H29" i="44" l="1"/>
  <c r="G31" i="44" s="1"/>
</calcChain>
</file>

<file path=xl/sharedStrings.xml><?xml version="1.0" encoding="utf-8"?>
<sst xmlns="http://schemas.openxmlformats.org/spreadsheetml/2006/main" count="5056" uniqueCount="298">
  <si>
    <t>MANUTENÇÃO PREDIAL - Regime de Tributação: Lucro Presumido</t>
  </si>
  <si>
    <t>Nº do processo:</t>
  </si>
  <si>
    <t>Licitação nº:</t>
  </si>
  <si>
    <t>Dia:</t>
  </si>
  <si>
    <t>DISCRIMINAÇÃO DOS SERVIÇOS (DADOS REFERENTES À CONTRATAÇÃO)</t>
  </si>
  <si>
    <t>A</t>
  </si>
  <si>
    <t>Data de apresentação da proposta (dia/mês/ano)</t>
  </si>
  <si>
    <t>B</t>
  </si>
  <si>
    <t>Município/UF</t>
  </si>
  <si>
    <t>C</t>
  </si>
  <si>
    <t>Ano do Acordo, Convenção ou Dissídio Coletivo</t>
  </si>
  <si>
    <t xml:space="preserve">RS002727/2017 </t>
  </si>
  <si>
    <t>D</t>
  </si>
  <si>
    <t>Número de meses de execução contratual</t>
  </si>
  <si>
    <r>
      <rPr>
        <b/>
        <sz val="15"/>
        <rFont val="Arial"/>
        <family val="2"/>
        <charset val="1"/>
      </rPr>
      <t xml:space="preserve">1. MÓDULOS 
</t>
    </r>
    <r>
      <rPr>
        <b/>
        <sz val="12"/>
        <rFont val="Arial"/>
        <family val="2"/>
        <charset val="1"/>
      </rPr>
      <t xml:space="preserve">Mão de obra
</t>
    </r>
    <r>
      <rPr>
        <b/>
        <sz val="11"/>
        <rFont val="Arial"/>
        <family val="2"/>
        <charset val="1"/>
      </rPr>
      <t>Mão de obra vinculada à execução contratual</t>
    </r>
  </si>
  <si>
    <t>Dados para composição dos custos referente à mão de obra</t>
  </si>
  <si>
    <t>Tipo de Serviço (mesmo serviço com características distintas)</t>
  </si>
  <si>
    <t>Manutenção Predial</t>
  </si>
  <si>
    <t>Classificação Brasileira de Ocupações (CBO)</t>
  </si>
  <si>
    <t>Salário Normativo da Categoria Profissional - para a jornada de 44 h/sem</t>
  </si>
  <si>
    <t>Categoria Profissional (vinculada à execução contratual)</t>
  </si>
  <si>
    <t>Data-Base da Categoria (dia/mês/ano)</t>
  </si>
  <si>
    <t>Módulo 1: Composição da Remuneração</t>
  </si>
  <si>
    <t xml:space="preserve">Composição da Remuneração </t>
  </si>
  <si>
    <t>Percentual
(R$)</t>
  </si>
  <si>
    <t xml:space="preserve">Valor
(R$) </t>
  </si>
  <si>
    <t xml:space="preserve">Adicional de Periculosidade </t>
  </si>
  <si>
    <t xml:space="preserve">Adicional Noturno </t>
  </si>
  <si>
    <t>Adicional de Hora Noturna Reduzida</t>
  </si>
  <si>
    <t>E</t>
  </si>
  <si>
    <t xml:space="preserve">Adicional de Hora Extra no Feriado Trabalhado </t>
  </si>
  <si>
    <t>Adicional de Insalubridade</t>
  </si>
  <si>
    <t xml:space="preserve">Total </t>
  </si>
  <si>
    <t>Módulo 2 – Encargos e Benefícios Anuais, Mensais e Diários</t>
  </si>
  <si>
    <t>Submódulo 2.1 – 13º (décimo terceiro) Salário e Adicional de Férias</t>
  </si>
  <si>
    <t>2.1</t>
  </si>
  <si>
    <r>
      <rPr>
        <b/>
        <sz val="11"/>
        <rFont val="Arial"/>
        <family val="2"/>
        <charset val="1"/>
      </rPr>
      <t>13º (décimo terceiro) Salário</t>
    </r>
    <r>
      <rPr>
        <b/>
        <sz val="11"/>
        <color rgb="FFFF0000"/>
        <rFont val="Arial"/>
        <family val="2"/>
        <charset val="1"/>
      </rPr>
      <t xml:space="preserve"> </t>
    </r>
    <r>
      <rPr>
        <b/>
        <sz val="11"/>
        <rFont val="Arial"/>
        <family val="2"/>
        <charset val="1"/>
      </rPr>
      <t>e Adicional de Férias</t>
    </r>
  </si>
  <si>
    <t>Valor (R$)</t>
  </si>
  <si>
    <r>
      <rPr>
        <b/>
        <sz val="10"/>
        <rFont val="Arial"/>
        <family val="2"/>
        <charset val="1"/>
      </rPr>
      <t>13º (décimo terceiro) Salário</t>
    </r>
    <r>
      <rPr>
        <b/>
        <sz val="11"/>
        <color rgb="FF000000"/>
        <rFont val="Arial"/>
        <family val="2"/>
        <charset val="1"/>
      </rPr>
      <t xml:space="preserve"> </t>
    </r>
    <r>
      <rPr>
        <b/>
        <sz val="8"/>
        <color rgb="FFFF0000"/>
        <rFont val="Arial"/>
        <family val="2"/>
        <charset val="1"/>
      </rPr>
      <t>Obrigatória a cotação de 8,33% sobre o valor do Módulo 1 – Composição da Remuneração, conforme Anexo XII da IN 5/17</t>
    </r>
  </si>
  <si>
    <r>
      <rPr>
        <b/>
        <sz val="10"/>
        <color rgb="FF000000"/>
        <rFont val="Arial"/>
        <family val="2"/>
        <charset val="1"/>
      </rPr>
      <t>Adicional de Férias</t>
    </r>
    <r>
      <rPr>
        <b/>
        <sz val="10"/>
        <color rgb="FF009900"/>
        <rFont val="Arial"/>
        <family val="2"/>
        <charset val="1"/>
      </rPr>
      <t xml:space="preserve"> </t>
    </r>
    <r>
      <rPr>
        <b/>
        <sz val="8"/>
        <color rgb="FFFF0000"/>
        <rFont val="Arial"/>
        <family val="2"/>
        <charset val="1"/>
      </rPr>
      <t>Obrigatória a cotação de 3,025% sobre o valor do Módulo 1 – Composição da Remuneração, conforme Anexo XII da IN 5/17 (Férias + Adicional = 9,075% + 3,025% = 12,10%)</t>
    </r>
  </si>
  <si>
    <t>Total</t>
  </si>
  <si>
    <t>Submódulo 2.2 - Encargos Previdenciários (GPS), Fundo de Garantia por Tempo de Serviço (FGTS) e outras contribuições</t>
  </si>
  <si>
    <t>2.2</t>
  </si>
  <si>
    <t>GPS, FGTS e outras contribuições</t>
  </si>
  <si>
    <t>Percentual (%)</t>
  </si>
  <si>
    <t>Valor
 (R$)</t>
  </si>
  <si>
    <t>INSS</t>
  </si>
  <si>
    <t>Salário Educação</t>
  </si>
  <si>
    <t xml:space="preserve">RAT x FAP
</t>
  </si>
  <si>
    <t>RAT =</t>
  </si>
  <si>
    <t xml:space="preserve"> FAP =</t>
  </si>
  <si>
    <t>SESC ou SESI</t>
  </si>
  <si>
    <t>SENAC ou SENAI</t>
  </si>
  <si>
    <t>F</t>
  </si>
  <si>
    <t>SEBRAE</t>
  </si>
  <si>
    <t>G</t>
  </si>
  <si>
    <t>INCRA</t>
  </si>
  <si>
    <t>H</t>
  </si>
  <si>
    <t>FGTS</t>
  </si>
  <si>
    <t>Submódulo 2.3 – Benefícios Mensais e Diários</t>
  </si>
  <si>
    <t>2.3</t>
  </si>
  <si>
    <t>Benefícios Mensais e Diários</t>
  </si>
  <si>
    <r>
      <rPr>
        <b/>
        <sz val="10"/>
        <rFont val="Arial"/>
        <family val="2"/>
        <charset val="1"/>
      </rPr>
      <t xml:space="preserve">Transporte                                              </t>
    </r>
    <r>
      <rPr>
        <b/>
        <sz val="10"/>
        <color rgb="FFFF0000"/>
        <rFont val="Arial"/>
        <family val="2"/>
        <charset val="1"/>
      </rPr>
      <t xml:space="preserve"> Cálculo do valor: [(2xVTx21) – (6%xSB)]</t>
    </r>
  </si>
  <si>
    <t xml:space="preserve">      A.1) Valor da passagem do transporte coletivo no município de prestação dos serviços: </t>
  </si>
  <si>
    <t>-</t>
  </si>
  <si>
    <t xml:space="preserve">      A.2) Quantidade de passagens por dia por empregado:</t>
  </si>
  <si>
    <t xml:space="preserve">      A.3) Quantidade de dias do mês de recebimento de passagens</t>
  </si>
  <si>
    <r>
      <rPr>
        <b/>
        <sz val="10"/>
        <rFont val="Arial"/>
        <family val="2"/>
        <charset val="1"/>
      </rPr>
      <t xml:space="preserve">Auxílio-Refeição/Alimentação </t>
    </r>
    <r>
      <rPr>
        <b/>
        <sz val="10"/>
        <color rgb="FFFF0000"/>
        <rFont val="Arial"/>
        <family val="2"/>
        <charset val="1"/>
      </rPr>
      <t>Cálculo do valor = [(21xVA)x(1-</t>
    </r>
    <r>
      <rPr>
        <b/>
        <sz val="10"/>
        <color rgb="FF0000FF"/>
        <rFont val="Arial"/>
        <family val="2"/>
        <charset val="1"/>
      </rPr>
      <t>0,18</t>
    </r>
    <r>
      <rPr>
        <b/>
        <sz val="10"/>
        <color rgb="FFFF0000"/>
        <rFont val="Arial"/>
        <family val="2"/>
        <charset val="1"/>
      </rPr>
      <t>)]</t>
    </r>
  </si>
  <si>
    <t xml:space="preserve">      B.1) Valor do auxílio-alimentação (clausula 19ª da CCT 2018): </t>
  </si>
  <si>
    <t xml:space="preserve">      B.2) Quantidade de dias do mês de recebimento de auxílio-alimentação</t>
  </si>
  <si>
    <t>Seguro contra riscos de acidente de trabalho</t>
  </si>
  <si>
    <t>Quadro-Resumo do Módulo 2 – Encargos e Benefícios Anuais, Mensais e Diários</t>
  </si>
  <si>
    <t>Encargos e Benefícios Anuais, Mensais e Diários</t>
  </si>
  <si>
    <t>13º (décimo terceiro) Salário e Adicional de Férias</t>
  </si>
  <si>
    <t>Módulo 3 - Provisão para Rescisão</t>
  </si>
  <si>
    <t>Provisão para Rescisão</t>
  </si>
  <si>
    <t>Valor  (R$)</t>
  </si>
  <si>
    <t>Incidência do FGTS sobre o Aviso Prévio Indenizado</t>
  </si>
  <si>
    <t xml:space="preserve">Incidência dos encargos do Submódulo 2.2 sobre o Aviso Prévio Trabalhado         </t>
  </si>
  <si>
    <t>Módulo 4 - Custo de Reposição do Profissional Ausente</t>
  </si>
  <si>
    <t>Base de cálculo para o Custo de Reposição do Profissional Ausente (substituto): BCCPA = Rem + 13º + Férias + 1/3Férias</t>
  </si>
  <si>
    <t>4.1</t>
  </si>
  <si>
    <t>Substituto nas Ausências Legais</t>
  </si>
  <si>
    <t>Subsitituto na cobertura de Férias</t>
  </si>
  <si>
    <r>
      <rPr>
        <b/>
        <sz val="10"/>
        <rFont val="Arial"/>
        <family val="2"/>
        <charset val="1"/>
      </rPr>
      <t xml:space="preserve">Subsitituto na cobertura de Licença-Paternidade    </t>
    </r>
    <r>
      <rPr>
        <b/>
        <sz val="10"/>
        <color rgb="FFFF0000"/>
        <rFont val="Arial"/>
        <family val="2"/>
        <charset val="1"/>
      </rPr>
      <t>Cálculo do valor = {[(</t>
    </r>
    <r>
      <rPr>
        <b/>
        <sz val="10"/>
        <color rgb="FF0000FF"/>
        <rFont val="Arial"/>
        <family val="2"/>
        <charset val="1"/>
      </rPr>
      <t>BCCPA</t>
    </r>
    <r>
      <rPr>
        <b/>
        <sz val="10"/>
        <color rgb="FFFF0000"/>
        <rFont val="Arial"/>
        <family val="2"/>
        <charset val="1"/>
      </rPr>
      <t>/30)x5dias]/12}x1,5%</t>
    </r>
  </si>
  <si>
    <r>
      <rPr>
        <b/>
        <sz val="10"/>
        <rFont val="Arial"/>
        <family val="2"/>
        <charset val="1"/>
      </rPr>
      <t xml:space="preserve">Subsitituto na cobertura de Ausência por acidente de trabalho </t>
    </r>
    <r>
      <rPr>
        <b/>
        <sz val="10"/>
        <color rgb="FFFF0000"/>
        <rFont val="Arial"/>
        <family val="2"/>
        <charset val="1"/>
      </rPr>
      <t>Cálculo do valor  = {[(</t>
    </r>
    <r>
      <rPr>
        <b/>
        <sz val="10"/>
        <color rgb="FF0000FF"/>
        <rFont val="Arial"/>
        <family val="2"/>
        <charset val="1"/>
      </rPr>
      <t>BCCPA</t>
    </r>
    <r>
      <rPr>
        <b/>
        <sz val="10"/>
        <color rgb="FFFF0000"/>
        <rFont val="Arial"/>
        <family val="2"/>
        <charset val="1"/>
      </rPr>
      <t>/30)x15dias]/12}x0,78%</t>
    </r>
  </si>
  <si>
    <r>
      <rPr>
        <b/>
        <sz val="10"/>
        <rFont val="Arial"/>
        <family val="2"/>
        <charset val="1"/>
      </rPr>
      <t xml:space="preserve">Subsitituto na cobertura de Afastamento Maternidade   </t>
    </r>
    <r>
      <rPr>
        <b/>
        <sz val="10"/>
        <color rgb="FFFF0000"/>
        <rFont val="Arial"/>
        <family val="2"/>
        <charset val="1"/>
      </rPr>
      <t>Cálculo do valor = {[(</t>
    </r>
    <r>
      <rPr>
        <b/>
        <sz val="10"/>
        <color rgb="FF0000FF"/>
        <rFont val="Arial"/>
        <family val="2"/>
        <charset val="1"/>
      </rPr>
      <t>Rem</t>
    </r>
    <r>
      <rPr>
        <b/>
        <sz val="10"/>
        <color rgb="FFFF0000"/>
        <rFont val="Arial"/>
        <family val="2"/>
        <charset val="1"/>
      </rPr>
      <t>+1/3</t>
    </r>
    <r>
      <rPr>
        <b/>
        <sz val="10"/>
        <color rgb="FF0000FF"/>
        <rFont val="Arial"/>
        <family val="2"/>
        <charset val="1"/>
      </rPr>
      <t>Rem</t>
    </r>
    <r>
      <rPr>
        <b/>
        <sz val="10"/>
        <color rgb="FFFF0000"/>
        <rFont val="Arial"/>
        <family val="2"/>
        <charset val="1"/>
      </rPr>
      <t>)/12]x(4/12)}x1%</t>
    </r>
  </si>
  <si>
    <r>
      <rPr>
        <b/>
        <sz val="10"/>
        <color rgb="FF000000"/>
        <rFont val="Arial"/>
        <family val="2"/>
        <charset val="1"/>
      </rPr>
      <t xml:space="preserve">Subsitituto na cobertura de Ausência por doença              </t>
    </r>
    <r>
      <rPr>
        <b/>
        <sz val="10"/>
        <color rgb="FFFF0000"/>
        <rFont val="Arial"/>
        <family val="2"/>
        <charset val="1"/>
      </rPr>
      <t>Cálculo do valor = [(</t>
    </r>
    <r>
      <rPr>
        <b/>
        <sz val="10"/>
        <color rgb="FF0000FF"/>
        <rFont val="Arial"/>
        <family val="2"/>
        <charset val="1"/>
      </rPr>
      <t>BCCPA</t>
    </r>
    <r>
      <rPr>
        <b/>
        <sz val="10"/>
        <color rgb="FFFF0000"/>
        <rFont val="Arial"/>
        <family val="2"/>
        <charset val="1"/>
      </rPr>
      <t>)/30)x0,15dias]/12</t>
    </r>
  </si>
  <si>
    <t>Submódulo 4.2 – Subistituto na Intrajornada</t>
  </si>
  <si>
    <t xml:space="preserve">4.2 </t>
  </si>
  <si>
    <t>Substituto na Intrajornada</t>
  </si>
  <si>
    <t>Subsitituto na cobertura de Intervalo para repouso ou alimentação</t>
  </si>
  <si>
    <t>Quadro-Resumo do Módulo 4 – Custo de Reposição do Profissional Ausente</t>
  </si>
  <si>
    <t>Custo de Reposição do Profissional Ausente</t>
  </si>
  <si>
    <t>Ausências Legais</t>
  </si>
  <si>
    <t>4.2</t>
  </si>
  <si>
    <t>Intrajornada</t>
  </si>
  <si>
    <t>Módulo 5 – Insumos Diversos</t>
  </si>
  <si>
    <t>Insumos diversos</t>
  </si>
  <si>
    <t xml:space="preserve">Equipamentos </t>
  </si>
  <si>
    <t xml:space="preserve">Outros (especificar) </t>
  </si>
  <si>
    <t>Módulo 6 -  Custos Indiretos, Lucro e Tributos</t>
  </si>
  <si>
    <t xml:space="preserve">Custos Indiretos, Lucro e Tributos </t>
  </si>
  <si>
    <t>Valor
(R$)</t>
  </si>
  <si>
    <t>BASE DE CÁLCULO DOS CUSTOS INDIRETOS</t>
  </si>
  <si>
    <t>Custos Indiretos</t>
  </si>
  <si>
    <t>BASE DE CÁLCULO DO LUCRO</t>
  </si>
  <si>
    <t>Lucro</t>
  </si>
  <si>
    <t>BASE DE CÁLCULO DOS TRIBUTOS</t>
  </si>
  <si>
    <t>Tributos</t>
  </si>
  <si>
    <t>C.1    Tributos Federais (especificar)</t>
  </si>
  <si>
    <r>
      <rPr>
        <b/>
        <sz val="10"/>
        <rFont val="Arial"/>
        <family val="2"/>
        <charset val="1"/>
      </rPr>
      <t xml:space="preserve">  a) Cofins  </t>
    </r>
    <r>
      <rPr>
        <sz val="10"/>
        <color rgb="FFFF0000"/>
        <rFont val="Arial"/>
        <family val="2"/>
        <charset val="1"/>
      </rPr>
      <t>(depende do regime de tributação - utilizada a hipótese de Lucro Real)</t>
    </r>
  </si>
  <si>
    <r>
      <rPr>
        <b/>
        <sz val="10"/>
        <rFont val="Arial"/>
        <family val="2"/>
        <charset val="1"/>
      </rPr>
      <t xml:space="preserve">  b) PIS </t>
    </r>
    <r>
      <rPr>
        <sz val="10"/>
        <color rgb="FFFF0000"/>
        <rFont val="Arial"/>
        <family val="2"/>
        <charset val="1"/>
      </rPr>
      <t>(depende do regime de tributação - utilizada a hipótese de Lucro Real)</t>
    </r>
  </si>
  <si>
    <t xml:space="preserve"> c) IRPJ</t>
  </si>
  <si>
    <t xml:space="preserve"> d) CSLL</t>
  </si>
  <si>
    <t>C.2   Tributos Estaduais (especificar)</t>
  </si>
  <si>
    <t>C.3   Tributos Municipais (especificar):</t>
  </si>
  <si>
    <t xml:space="preserve">Percentual Total e Valor Total de Tributos  </t>
  </si>
  <si>
    <t>Cálculo dos Tributos</t>
  </si>
  <si>
    <t xml:space="preserve">                  Base de Cálculo para os Tributos</t>
  </si>
  <si>
    <t xml:space="preserve"> = ( ---------------------------------------------------------------- ) x Alíquota do Tributo</t>
  </si>
  <si>
    <t xml:space="preserve">         1 - (Total de Tributos em % dividido por 100)</t>
  </si>
  <si>
    <t xml:space="preserve">
2. QUADRO-RESUMO DO CUSTO POR EMPREGADO
</t>
  </si>
  <si>
    <t xml:space="preserve">                          Mão de obra vinculada à execução contratual (valor por empregado)</t>
  </si>
  <si>
    <t>Módulo 1 - Composição da Remuneração</t>
  </si>
  <si>
    <t>Módulo 3 – Provisão para Rescisão</t>
  </si>
  <si>
    <t>Módulo 4 – Custo de Reposição do Profissional Ausente</t>
  </si>
  <si>
    <t xml:space="preserve">Módulo 5 - Insumo Diversos </t>
  </si>
  <si>
    <t>Subtotal (A + B + C + D + E)</t>
  </si>
  <si>
    <t>Módulo 6 - Custos Indiretos, Lucro e Tributos</t>
  </si>
  <si>
    <t>Valor Total por Empregado</t>
  </si>
  <si>
    <r>
      <t xml:space="preserve">Subsitituto na cobertura de Ausências Legais                </t>
    </r>
    <r>
      <rPr>
        <b/>
        <sz val="10"/>
        <color rgb="FFFF0000"/>
        <rFont val="Arial"/>
        <family val="2"/>
        <charset val="1"/>
      </rPr>
      <t>Cálculo do valor = [(</t>
    </r>
    <r>
      <rPr>
        <b/>
        <sz val="10"/>
        <color rgb="FF0000FF"/>
        <rFont val="Arial"/>
        <family val="2"/>
        <charset val="1"/>
      </rPr>
      <t>BCCPA</t>
    </r>
    <r>
      <rPr>
        <b/>
        <sz val="10"/>
        <color rgb="FFFF0000"/>
        <rFont val="Arial"/>
        <family val="2"/>
        <charset val="1"/>
      </rPr>
      <t>/30)x0,1dias]/12</t>
    </r>
  </si>
  <si>
    <t xml:space="preserve">      B.3) Desconto</t>
  </si>
  <si>
    <t>Carga Horaria</t>
  </si>
  <si>
    <t xml:space="preserve">  a) ISS             </t>
  </si>
  <si>
    <r>
      <t xml:space="preserve">Aviso Prévio Indenizado     </t>
    </r>
    <r>
      <rPr>
        <b/>
        <sz val="8"/>
        <color rgb="FFFF0000"/>
        <rFont val="Arial"/>
        <family val="2"/>
        <charset val="1"/>
      </rPr>
      <t>Aviso-prévio indenizado     Cálculo do valor = {Rem/12 + 13º/12=(Rem/12)/12 + Férias/12=(Rem/12)/12 + (1/3xFérias)/12=1/3x[(Rem/12)/12]} x (30/30=1) x 1% de rotatividade anual - Os reflexos de 13º, F e 1/3F são referentes a 1 mês de APInd - Na prorrogação, poderão ser considerados 3 dias conforme Lei nº 12.506/2011, dependendo da análise do nº de ocorrências deste evento no período</t>
    </r>
  </si>
  <si>
    <r>
      <t xml:space="preserve">Multa do FGTS sobre o Aviso Prévio Indenizado </t>
    </r>
    <r>
      <rPr>
        <b/>
        <sz val="8"/>
        <color rgb="FFFF0000"/>
        <rFont val="Arial"/>
        <family val="2"/>
        <charset val="1"/>
      </rPr>
      <t>Obrigatória a cotação de 0,24% sobre o valor do Módulo 1 – Composição da Remuneração, conforme Anexo XII da IN Seges nº 5/2017 (0,24% + 3,76% = 4,0%)</t>
    </r>
  </si>
  <si>
    <r>
      <t xml:space="preserve">Multa do FGTS sobre o Aviso Prévio Trabalhado </t>
    </r>
    <r>
      <rPr>
        <b/>
        <sz val="8"/>
        <color rgb="FFFF0000"/>
        <rFont val="Arial"/>
        <family val="2"/>
        <charset val="1"/>
      </rPr>
      <t>Obrigatória a cotação de 3,76% sobre o valor do Módulo 1 – Composição da Remuneração, conforme Anexo XII da IN Seges nº 5/2017 (3,76%+0,24% = 4,0%)</t>
    </r>
  </si>
  <si>
    <r>
      <t xml:space="preserve">Aviso Prévio Trabalhado                 (negociar extinção/redução na 1ª prorrogação)
</t>
    </r>
    <r>
      <rPr>
        <b/>
        <sz val="10"/>
        <color rgb="FFFF0000"/>
        <rFont val="Arial"/>
        <family val="2"/>
        <charset val="1"/>
      </rPr>
      <t>Cálculo do valor=</t>
    </r>
  </si>
  <si>
    <t>Insumos serviços técnicos</t>
  </si>
  <si>
    <t>Porto Alegre/RS</t>
  </si>
  <si>
    <t xml:space="preserve">	RS000211/2020</t>
  </si>
  <si>
    <t>Engenheiro Civil</t>
  </si>
  <si>
    <t xml:space="preserve">Salário-Base  </t>
  </si>
  <si>
    <t>07/2020</t>
  </si>
  <si>
    <t>23103.202795/2020-98</t>
  </si>
  <si>
    <t xml:space="preserve"> VALOR MENSAL DOS SERVIÇOS</t>
  </si>
  <si>
    <t>Tipo de serviço (A)</t>
  </si>
  <si>
    <t xml:space="preserve">Valor Proposto  por Empregado  (B) </t>
  </si>
  <si>
    <t xml:space="preserve">Qtde. de Empregados por Posto (C) </t>
  </si>
  <si>
    <t xml:space="preserve">Valor Proposto  por Posto  (D) = (B x C) </t>
  </si>
  <si>
    <t xml:space="preserve">Qtde. de  Postos  (E) </t>
  </si>
  <si>
    <t xml:space="preserve">Valor Total do Serviço (F) = (D x E) </t>
  </si>
  <si>
    <t>Global</t>
  </si>
  <si>
    <t>I</t>
  </si>
  <si>
    <t>VI</t>
  </si>
  <si>
    <t>VII</t>
  </si>
  <si>
    <t>VIII</t>
  </si>
  <si>
    <t>IX</t>
  </si>
  <si>
    <t>X</t>
  </si>
  <si>
    <t>Valor Mensal dos Serviços</t>
  </si>
  <si>
    <t xml:space="preserve">QUADRO DEMONSTRATIVO DO VALOR GLOBAL DA PROPOSTA </t>
  </si>
  <si>
    <t>Valor mensal do serviço</t>
  </si>
  <si>
    <t>Número de meses do Contrato</t>
  </si>
  <si>
    <r>
      <rPr>
        <b/>
        <sz val="10"/>
        <rFont val="Arial"/>
        <family val="2"/>
        <charset val="1"/>
      </rPr>
      <t>Valor Global do Proposta</t>
    </r>
    <r>
      <rPr>
        <sz val="10"/>
        <rFont val="Arial"/>
        <family val="2"/>
        <charset val="1"/>
      </rPr>
      <t xml:space="preserve"> (Valor mensal do serviço x  nº de meses do contrato).</t>
    </r>
  </si>
  <si>
    <t>Almoxarife</t>
  </si>
  <si>
    <t>Auxiliar de Eletricista</t>
  </si>
  <si>
    <t>Auxiliar de Mecânico de Refri</t>
  </si>
  <si>
    <t>Auxiliar produção (servente)</t>
  </si>
  <si>
    <t>Bombeiro Hidráulico</t>
  </si>
  <si>
    <t>Engenheiro Eletricista</t>
  </si>
  <si>
    <t>Engenheiro Mecânico</t>
  </si>
  <si>
    <t>Gesseiro</t>
  </si>
  <si>
    <t>Marceneiro</t>
  </si>
  <si>
    <t>XIII</t>
  </si>
  <si>
    <t>XV</t>
  </si>
  <si>
    <t>Mecânico de Refrigeração</t>
  </si>
  <si>
    <t>Oficial de Manutenção Predial</t>
  </si>
  <si>
    <t>Ténico em Edificações (encar.)</t>
  </si>
  <si>
    <t>Técnico em Eletricidade</t>
  </si>
  <si>
    <t>Técnico em Seg. do Trab.</t>
  </si>
  <si>
    <t>Engenheiro Mecanico</t>
  </si>
  <si>
    <t>Bombeiro Hidraúlico</t>
  </si>
  <si>
    <t>Sobreaviso</t>
  </si>
  <si>
    <t xml:space="preserve">Adicional de Insalubridade </t>
  </si>
  <si>
    <t>Uniformes  e EPI</t>
  </si>
  <si>
    <t>Plano de Benefício Social Familiar</t>
  </si>
  <si>
    <t>Item 1</t>
  </si>
  <si>
    <t>Item 2</t>
  </si>
  <si>
    <t>Mão de obra demandada Serviços especializado</t>
  </si>
  <si>
    <t>Item 3</t>
  </si>
  <si>
    <t>Item 4</t>
  </si>
  <si>
    <t>Valor anual fixo para serviços não previstos</t>
  </si>
  <si>
    <t xml:space="preserve">Material </t>
  </si>
  <si>
    <t>II.I</t>
  </si>
  <si>
    <t>II.II</t>
  </si>
  <si>
    <t>Auxiliar de Eletricista 40</t>
  </si>
  <si>
    <t>III.I</t>
  </si>
  <si>
    <t>III.II</t>
  </si>
  <si>
    <t>IV.I</t>
  </si>
  <si>
    <t>IV.II</t>
  </si>
  <si>
    <t>Auxiliar de Mecânico 40</t>
  </si>
  <si>
    <t>Auxiliar produção (servente) 40</t>
  </si>
  <si>
    <t>V.I</t>
  </si>
  <si>
    <t>XI.I</t>
  </si>
  <si>
    <t>XI.II</t>
  </si>
  <si>
    <t>XIV.I</t>
  </si>
  <si>
    <t>XIV.II</t>
  </si>
  <si>
    <t xml:space="preserve">      B.1) Valor do auxílio-lanche (clausula 19ª da CCT 2018): </t>
  </si>
  <si>
    <t>Uniforme</t>
  </si>
  <si>
    <t>Funcionário</t>
  </si>
  <si>
    <t>Quant. Ano</t>
  </si>
  <si>
    <t>Item</t>
  </si>
  <si>
    <t>Jaleco manga curta</t>
  </si>
  <si>
    <t>Jaleco manga longa</t>
  </si>
  <si>
    <t>calça operacional</t>
  </si>
  <si>
    <t>calçado</t>
  </si>
  <si>
    <t>jaleco longo</t>
  </si>
  <si>
    <t>camiseta curta</t>
  </si>
  <si>
    <t>EPI</t>
  </si>
  <si>
    <t>Oculos</t>
  </si>
  <si>
    <t>Protetor inserção</t>
  </si>
  <si>
    <t>Protetor concha</t>
  </si>
  <si>
    <t>Repirador PPF1/2</t>
  </si>
  <si>
    <t>Luva contra abrasivos/escoriantes</t>
  </si>
  <si>
    <t>Máscara de Solda</t>
  </si>
  <si>
    <t>Máscara de Escurecimento</t>
  </si>
  <si>
    <t>Protetor facial</t>
  </si>
  <si>
    <t>Touca</t>
  </si>
  <si>
    <t>Avental Raspa</t>
  </si>
  <si>
    <t>Mangotes</t>
  </si>
  <si>
    <t>Luvas de Vaqueta</t>
  </si>
  <si>
    <t>Perneiras</t>
  </si>
  <si>
    <t>Calçado de Segurança</t>
  </si>
  <si>
    <t>Cinto tipo paraquedista</t>
  </si>
  <si>
    <t>Capacetes tipo II</t>
  </si>
  <si>
    <t>Botas de choque elétrico</t>
  </si>
  <si>
    <t>Oculos de Segurança</t>
  </si>
  <si>
    <t>Protetor Faciais</t>
  </si>
  <si>
    <t>Braçadeiras ou mangas</t>
  </si>
  <si>
    <t>Luvas de cobertura de para prote.</t>
  </si>
  <si>
    <t>Quant. Estimada</t>
  </si>
  <si>
    <t>Capacete</t>
  </si>
  <si>
    <t>Luva contra cortantes/perfurantes</t>
  </si>
  <si>
    <t>Cinto eletricista</t>
  </si>
  <si>
    <t>Luvas de borracha 3 pares</t>
  </si>
  <si>
    <t>EQUIPAMENTOS</t>
  </si>
  <si>
    <t>Chaves FIXA</t>
  </si>
  <si>
    <t>Chaves ALLEN</t>
  </si>
  <si>
    <t>Chaves ESTRELA</t>
  </si>
  <si>
    <t>Chaves BOCA</t>
  </si>
  <si>
    <t>Chaves SOQUETE</t>
  </si>
  <si>
    <t>Chaves PHILIPS</t>
  </si>
  <si>
    <t>Chaves GRIFO</t>
  </si>
  <si>
    <t>Chaves COTOCO</t>
  </si>
  <si>
    <t>Chaves COMBINADAS</t>
  </si>
  <si>
    <t>Chaves Catraca</t>
  </si>
  <si>
    <t>Valor</t>
  </si>
  <si>
    <t>Arco Serra</t>
  </si>
  <si>
    <t>Alicates pressão 8</t>
  </si>
  <si>
    <t>Chaves FENDA</t>
  </si>
  <si>
    <t>Alicate universal</t>
  </si>
  <si>
    <t>Alicates de bico</t>
  </si>
  <si>
    <t>Bomba de Vácuo 18 cfm</t>
  </si>
  <si>
    <t>Bomba de Vácuo 8 cfm</t>
  </si>
  <si>
    <t>Vacuômetro;</t>
  </si>
  <si>
    <t>Recolhedora de refrigerante</t>
  </si>
  <si>
    <t>Conjunto oxiacetileno PPU</t>
  </si>
  <si>
    <t>Equipamento de Solda</t>
  </si>
  <si>
    <t>Hidrocompressor</t>
  </si>
  <si>
    <t xml:space="preserve">Detector de vazamento de gás </t>
  </si>
  <si>
    <t>Detector de tensão para baixa</t>
  </si>
  <si>
    <t>Detector de tensão para alta</t>
  </si>
  <si>
    <t>Alicate corte universal</t>
  </si>
  <si>
    <t>Anemometros</t>
  </si>
  <si>
    <t>Lixadeiras</t>
  </si>
  <si>
    <t>Furadeira</t>
  </si>
  <si>
    <t>Esmerilhadeira</t>
  </si>
  <si>
    <t>Serra de Corte</t>
  </si>
  <si>
    <t>Fitas, cordas e correntes</t>
  </si>
  <si>
    <t>Corda de manilha</t>
  </si>
  <si>
    <t>Bolsa de ferramentas</t>
  </si>
  <si>
    <t>Escada extensivel</t>
  </si>
  <si>
    <t>Escada Singela</t>
  </si>
  <si>
    <t>Escada para eletricidade</t>
  </si>
  <si>
    <t>Rádio</t>
  </si>
  <si>
    <t>Veiculo valor mensal (depreciado + combustivel)</t>
  </si>
  <si>
    <t>Serviços de terceiros como:</t>
  </si>
  <si>
    <t>Manuntenção Software ETC</t>
  </si>
  <si>
    <t>Estimado mensal</t>
  </si>
  <si>
    <t>Teste de caracterização da água de sistemas de climatização e laudos</t>
  </si>
  <si>
    <t>Laudos de Análise de água</t>
  </si>
  <si>
    <t>XII.II</t>
  </si>
  <si>
    <t>XII.I</t>
  </si>
  <si>
    <t>Oficial de Manutenção 40 hrs.</t>
  </si>
  <si>
    <t>Adicional de Função Encarregado</t>
  </si>
  <si>
    <r>
      <t xml:space="preserve">ANEXO ----  </t>
    </r>
    <r>
      <rPr>
        <b/>
        <sz val="18"/>
        <color rgb="FFFF0000"/>
        <rFont val="Arial"/>
        <family val="2"/>
        <charset val="1"/>
      </rPr>
      <t xml:space="preserve">do Contrato 05/2020 – </t>
    </r>
    <r>
      <rPr>
        <b/>
        <sz val="18"/>
        <color rgb="FF0000FF"/>
        <rFont val="Arial"/>
        <family val="2"/>
        <charset val="1"/>
      </rPr>
      <t xml:space="preserve">CONTA VINCULADA
</t>
    </r>
    <r>
      <rPr>
        <b/>
        <sz val="18"/>
        <color rgb="FF000000"/>
        <rFont val="Arial"/>
        <family val="2"/>
        <charset val="1"/>
      </rPr>
      <t xml:space="preserve">PLANILHA DE CUSTOS E FORMAÇÃO DE PREÇOS </t>
    </r>
    <r>
      <rPr>
        <b/>
        <sz val="18"/>
        <color rgb="FF800080"/>
        <rFont val="Arial"/>
        <family val="2"/>
        <charset val="1"/>
      </rPr>
      <t xml:space="preserve"> </t>
    </r>
    <r>
      <rPr>
        <b/>
        <sz val="18"/>
        <rFont val="Arial"/>
        <family val="2"/>
        <charset val="1"/>
      </rPr>
      <t xml:space="preserve"> </t>
    </r>
  </si>
  <si>
    <r>
      <t xml:space="preserve">ANEXO ----  </t>
    </r>
    <r>
      <rPr>
        <b/>
        <sz val="18"/>
        <color rgb="FFFF0000"/>
        <rFont val="Arial"/>
        <family val="2"/>
      </rPr>
      <t xml:space="preserve">do Contrato 05/2020 – </t>
    </r>
    <r>
      <rPr>
        <b/>
        <sz val="18"/>
        <color rgb="FF0000FF"/>
        <rFont val="Arial"/>
        <family val="2"/>
      </rPr>
      <t xml:space="preserve">CONTA VINCULADA
</t>
    </r>
    <r>
      <rPr>
        <b/>
        <sz val="18"/>
        <color rgb="FF000000"/>
        <rFont val="Arial"/>
        <family val="2"/>
      </rPr>
      <t xml:space="preserve">PLANILHA DE CUSTOS E FORMAÇÃO DE PREÇOS </t>
    </r>
    <r>
      <rPr>
        <b/>
        <sz val="18"/>
        <color rgb="FF800080"/>
        <rFont val="Arial"/>
        <family val="2"/>
      </rPr>
      <t xml:space="preserve"> </t>
    </r>
    <r>
      <rPr>
        <b/>
        <sz val="18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</si>
</sst>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yy"/>
    <numFmt numFmtId="165" formatCode="&quot;R$&quot;#,##0.00"/>
    <numFmt numFmtId="166" formatCode="0.000%"/>
    <numFmt numFmtId="167" formatCode="0.0000"/>
    <numFmt numFmtId="168" formatCode="0.0000%"/>
    <numFmt numFmtId="169" formatCode="&quot;R$ &quot;#,##0.00"/>
    <numFmt numFmtId="170" formatCode="_(&quot;R$ &quot;* #,##0.00_);_(&quot;R$ &quot;* \(#,##0.00\);_(&quot;R$ &quot;* \-??_);_(@_)"/>
    <numFmt numFmtId="171" formatCode="&quot;R$&quot;\ #,##0.00"/>
    <numFmt numFmtId="172" formatCode="_(* #,##0.00_);_(* \(#,##0.00\);_(* \-??_);_(@_)"/>
    <numFmt numFmtId="173" formatCode="#,##0.00&quot; &quot;;&quot;(&quot;#,##0.00&quot;)&quot;;&quot;-&quot;#&quot; &quot;;@&quot; &quot;"/>
  </numFmts>
  <fonts count="35">
    <font>
      <sz val="10"/>
      <name val="Arial"/>
      <family val="2"/>
      <charset val="1"/>
    </font>
    <font>
      <b/>
      <sz val="18"/>
      <color rgb="FF003366"/>
      <name val="Cambria"/>
      <family val="2"/>
      <charset val="1"/>
    </font>
    <font>
      <b/>
      <sz val="18"/>
      <color rgb="FF800080"/>
      <name val="Arial"/>
      <family val="2"/>
      <charset val="1"/>
    </font>
    <font>
      <b/>
      <sz val="18"/>
      <name val="Arial"/>
      <family val="2"/>
      <charset val="1"/>
    </font>
    <font>
      <b/>
      <sz val="18"/>
      <color rgb="FFFF0000"/>
      <name val="Arial"/>
      <family val="2"/>
      <charset val="1"/>
    </font>
    <font>
      <b/>
      <sz val="18"/>
      <color rgb="FF0000FF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FF0000"/>
      <name val="Arial"/>
      <family val="2"/>
      <charset val="1"/>
    </font>
    <font>
      <b/>
      <sz val="11"/>
      <name val="Arial"/>
      <family val="2"/>
      <charset val="1"/>
    </font>
    <font>
      <b/>
      <sz val="15"/>
      <name val="Arial"/>
      <family val="2"/>
      <charset val="1"/>
    </font>
    <font>
      <b/>
      <sz val="12"/>
      <name val="Arial"/>
      <family val="2"/>
      <charset val="1"/>
    </font>
    <font>
      <b/>
      <sz val="11"/>
      <color rgb="FFFF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8"/>
      <color rgb="FFFF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0"/>
      <color rgb="FF009900"/>
      <name val="Arial"/>
      <family val="2"/>
      <charset val="1"/>
    </font>
    <font>
      <b/>
      <sz val="9"/>
      <color rgb="FFFF0000"/>
      <name val="Arial"/>
      <family val="2"/>
      <charset val="1"/>
    </font>
    <font>
      <b/>
      <sz val="10"/>
      <color rgb="FF0000FF"/>
      <name val="Arial"/>
      <family val="2"/>
      <charset val="1"/>
    </font>
    <font>
      <b/>
      <strike/>
      <sz val="10"/>
      <color rgb="FF009900"/>
      <name val="Arial"/>
      <family val="2"/>
      <charset val="1"/>
    </font>
    <font>
      <b/>
      <sz val="11"/>
      <color rgb="FF0000FF"/>
      <name val="Arial"/>
      <family val="2"/>
      <charset val="1"/>
    </font>
    <font>
      <b/>
      <sz val="10"/>
      <name val="Arial"/>
      <family val="2"/>
    </font>
    <font>
      <sz val="10"/>
      <color rgb="FFFF0000"/>
      <name val="Arial"/>
      <family val="2"/>
      <charset val="1"/>
    </font>
    <font>
      <u/>
      <sz val="10"/>
      <color theme="10"/>
      <name val="Arial"/>
      <family val="2"/>
      <charset val="1"/>
    </font>
    <font>
      <sz val="22"/>
      <name val="Arial"/>
      <family val="2"/>
    </font>
    <font>
      <sz val="10"/>
      <name val="Arial"/>
      <family val="2"/>
    </font>
    <font>
      <sz val="10"/>
      <color theme="1"/>
      <name val="Arial1"/>
    </font>
    <font>
      <sz val="10"/>
      <name val="Arial"/>
      <family val="2"/>
      <charset val="1"/>
    </font>
    <font>
      <b/>
      <sz val="14"/>
      <color rgb="FF800080"/>
      <name val="Arial"/>
      <family val="2"/>
      <charset val="1"/>
    </font>
    <font>
      <sz val="8"/>
      <color rgb="FF000000"/>
      <name val="Verdana"/>
      <family val="2"/>
    </font>
    <font>
      <b/>
      <sz val="18"/>
      <name val="Arial"/>
      <family val="2"/>
    </font>
    <font>
      <b/>
      <sz val="18"/>
      <color rgb="FFFF0000"/>
      <name val="Arial"/>
      <family val="2"/>
    </font>
    <font>
      <b/>
      <sz val="18"/>
      <color rgb="FF0000FF"/>
      <name val="Arial"/>
      <family val="2"/>
    </font>
    <font>
      <b/>
      <sz val="18"/>
      <color rgb="FF000000"/>
      <name val="Arial"/>
      <family val="2"/>
    </font>
    <font>
      <b/>
      <sz val="18"/>
      <color rgb="FF80008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8">
    <xf numFmtId="0" fontId="0" fillId="0" borderId="0"/>
    <xf numFmtId="0" fontId="1" fillId="0" borderId="0" applyBorder="0" applyProtection="0"/>
    <xf numFmtId="0" fontId="23" fillId="0" borderId="0" applyNumberFormat="0" applyFill="0" applyBorder="0" applyAlignment="0" applyProtection="0"/>
    <xf numFmtId="0" fontId="25" fillId="0" borderId="0"/>
    <xf numFmtId="172" fontId="25" fillId="0" borderId="0" applyFill="0" applyBorder="0" applyAlignment="0" applyProtection="0"/>
    <xf numFmtId="173" fontId="26" fillId="0" borderId="0"/>
    <xf numFmtId="170" fontId="25" fillId="0" borderId="0" applyFill="0" applyBorder="0" applyAlignment="0" applyProtection="0"/>
    <xf numFmtId="170" fontId="27" fillId="0" borderId="0" applyBorder="0" applyProtection="0"/>
  </cellStyleXfs>
  <cellXfs count="161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vertical="center"/>
    </xf>
    <xf numFmtId="10" fontId="7" fillId="4" borderId="1" xfId="0" applyNumberFormat="1" applyFont="1" applyFill="1" applyBorder="1" applyAlignment="1">
      <alignment horizontal="right" vertical="center" wrapText="1"/>
    </xf>
    <xf numFmtId="10" fontId="7" fillId="0" borderId="1" xfId="0" applyNumberFormat="1" applyFont="1" applyBorder="1" applyAlignment="1">
      <alignment vertical="center"/>
    </xf>
    <xf numFmtId="4" fontId="9" fillId="2" borderId="1" xfId="0" applyNumberFormat="1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right" vertical="center"/>
    </xf>
    <xf numFmtId="16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4" fontId="7" fillId="0" borderId="1" xfId="0" applyNumberFormat="1" applyFont="1" applyBorder="1" applyAlignment="1">
      <alignment horizontal="right"/>
    </xf>
    <xf numFmtId="4" fontId="7" fillId="2" borderId="1" xfId="0" applyNumberFormat="1" applyFont="1" applyFill="1" applyBorder="1" applyAlignment="1">
      <alignment horizontal="right" vertical="center"/>
    </xf>
    <xf numFmtId="10" fontId="7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 wrapText="1"/>
    </xf>
    <xf numFmtId="9" fontId="7" fillId="0" borderId="1" xfId="0" applyNumberFormat="1" applyFont="1" applyBorder="1" applyAlignment="1">
      <alignment horizontal="left" vertical="center" wrapText="1"/>
    </xf>
    <xf numFmtId="167" fontId="7" fillId="0" borderId="1" xfId="0" applyNumberFormat="1" applyFont="1" applyBorder="1" applyAlignment="1">
      <alignment horizontal="left" vertical="center" wrapText="1"/>
    </xf>
    <xf numFmtId="168" fontId="7" fillId="0" borderId="1" xfId="0" applyNumberFormat="1" applyFont="1" applyBorder="1" applyAlignment="1">
      <alignment horizontal="right" vertical="center"/>
    </xf>
    <xf numFmtId="168" fontId="7" fillId="2" borderId="1" xfId="0" applyNumberFormat="1" applyFont="1" applyFill="1" applyBorder="1" applyAlignment="1">
      <alignment horizontal="right" vertical="center"/>
    </xf>
    <xf numFmtId="169" fontId="17" fillId="0" borderId="1" xfId="0" applyNumberFormat="1" applyFont="1" applyBorder="1" applyAlignment="1">
      <alignment vertical="center"/>
    </xf>
    <xf numFmtId="4" fontId="17" fillId="0" borderId="1" xfId="0" applyNumberFormat="1" applyFont="1" applyBorder="1" applyAlignment="1" applyProtection="1">
      <alignment vertical="center"/>
    </xf>
    <xf numFmtId="3" fontId="17" fillId="0" borderId="1" xfId="0" applyNumberFormat="1" applyFont="1" applyBorder="1" applyAlignment="1" applyProtection="1">
      <alignment vertical="center"/>
    </xf>
    <xf numFmtId="0" fontId="19" fillId="0" borderId="1" xfId="0" applyFont="1" applyBorder="1" applyAlignment="1">
      <alignment horizontal="center" vertical="center"/>
    </xf>
    <xf numFmtId="3" fontId="17" fillId="0" borderId="1" xfId="0" applyNumberFormat="1" applyFont="1" applyBorder="1" applyAlignment="1">
      <alignment vertical="center"/>
    </xf>
    <xf numFmtId="4" fontId="7" fillId="0" borderId="1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vertical="center" wrapText="1"/>
    </xf>
    <xf numFmtId="10" fontId="18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/>
    </xf>
    <xf numFmtId="166" fontId="21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/>
    <xf numFmtId="0" fontId="15" fillId="0" borderId="1" xfId="0" applyFont="1" applyBorder="1" applyAlignment="1">
      <alignment horizontal="center"/>
    </xf>
    <xf numFmtId="4" fontId="7" fillId="2" borderId="1" xfId="0" applyNumberFormat="1" applyFont="1" applyFill="1" applyBorder="1" applyAlignment="1">
      <alignment horizontal="right"/>
    </xf>
    <xf numFmtId="4" fontId="9" fillId="2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right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right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70" fontId="0" fillId="0" borderId="0" xfId="0" applyNumberFormat="1"/>
    <xf numFmtId="10" fontId="0" fillId="0" borderId="0" xfId="0" applyNumberFormat="1"/>
    <xf numFmtId="4" fontId="7" fillId="0" borderId="1" xfId="0" applyNumberFormat="1" applyFont="1" applyBorder="1" applyAlignment="1">
      <alignment horizontal="center" vertical="center"/>
    </xf>
    <xf numFmtId="10" fontId="17" fillId="0" borderId="1" xfId="0" applyNumberFormat="1" applyFont="1" applyBorder="1" applyAlignment="1">
      <alignment vertical="center"/>
    </xf>
    <xf numFmtId="44" fontId="0" fillId="0" borderId="0" xfId="0" applyNumberFormat="1"/>
    <xf numFmtId="171" fontId="0" fillId="0" borderId="0" xfId="0" applyNumberFormat="1"/>
    <xf numFmtId="0" fontId="23" fillId="0" borderId="0" xfId="2"/>
    <xf numFmtId="0" fontId="24" fillId="5" borderId="0" xfId="0" applyFont="1" applyFill="1"/>
    <xf numFmtId="4" fontId="0" fillId="0" borderId="0" xfId="0" applyNumberFormat="1"/>
    <xf numFmtId="9" fontId="0" fillId="0" borderId="0" xfId="0" applyNumberFormat="1"/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170" fontId="27" fillId="0" borderId="6" xfId="7" applyBorder="1" applyAlignment="1" applyProtection="1">
      <alignment horizontal="right" vertical="center"/>
    </xf>
    <xf numFmtId="170" fontId="27" fillId="0" borderId="8" xfId="7" applyBorder="1" applyAlignment="1" applyProtection="1">
      <alignment horizontal="right" vertical="center"/>
    </xf>
    <xf numFmtId="0" fontId="0" fillId="0" borderId="10" xfId="0" applyBorder="1" applyAlignment="1">
      <alignment horizontal="center" vertical="center"/>
    </xf>
    <xf numFmtId="170" fontId="8" fillId="0" borderId="12" xfId="7" applyFont="1" applyBorder="1" applyAlignment="1" applyProtection="1">
      <alignment horizontal="right" vertical="center"/>
    </xf>
    <xf numFmtId="0" fontId="0" fillId="0" borderId="13" xfId="0" applyBorder="1" applyAlignment="1">
      <alignment horizontal="center" vertical="center"/>
    </xf>
    <xf numFmtId="1" fontId="8" fillId="0" borderId="15" xfId="7" applyNumberFormat="1" applyFont="1" applyBorder="1" applyAlignment="1" applyProtection="1">
      <alignment horizontal="center" vertical="center"/>
    </xf>
    <xf numFmtId="0" fontId="0" fillId="0" borderId="16" xfId="0" applyBorder="1" applyAlignment="1">
      <alignment horizontal="center" vertical="center"/>
    </xf>
    <xf numFmtId="170" fontId="8" fillId="0" borderId="9" xfId="7" applyFont="1" applyBorder="1" applyAlignment="1" applyProtection="1">
      <alignment vertical="center"/>
    </xf>
    <xf numFmtId="0" fontId="0" fillId="6" borderId="6" xfId="0" applyFill="1" applyBorder="1" applyAlignment="1">
      <alignment horizontal="center" vertical="center"/>
    </xf>
    <xf numFmtId="0" fontId="0" fillId="6" borderId="6" xfId="0" applyFill="1" applyBorder="1" applyAlignment="1">
      <alignment vertical="center"/>
    </xf>
    <xf numFmtId="170" fontId="27" fillId="6" borderId="6" xfId="7" applyFill="1" applyBorder="1" applyAlignment="1" applyProtection="1">
      <alignment horizontal="right" vertical="center"/>
    </xf>
    <xf numFmtId="170" fontId="7" fillId="0" borderId="18" xfId="7" applyFont="1" applyBorder="1" applyAlignment="1" applyProtection="1">
      <alignment vertical="center"/>
    </xf>
    <xf numFmtId="170" fontId="7" fillId="0" borderId="5" xfId="7" applyFont="1" applyBorder="1" applyAlignment="1" applyProtection="1">
      <alignment vertical="center"/>
    </xf>
    <xf numFmtId="0" fontId="7" fillId="0" borderId="6" xfId="0" applyFont="1" applyBorder="1" applyAlignment="1">
      <alignment horizontal="center" vertical="center"/>
    </xf>
    <xf numFmtId="170" fontId="7" fillId="0" borderId="6" xfId="7" applyFont="1" applyBorder="1" applyAlignment="1" applyProtection="1">
      <alignment vertical="center"/>
    </xf>
    <xf numFmtId="43" fontId="0" fillId="0" borderId="0" xfId="0" applyNumberFormat="1"/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0" fontId="29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0" fontId="15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right" vertical="center"/>
    </xf>
    <xf numFmtId="0" fontId="15" fillId="0" borderId="1" xfId="0" applyFont="1" applyBorder="1" applyAlignment="1">
      <alignment horizontal="right" vertical="center"/>
    </xf>
    <xf numFmtId="0" fontId="9" fillId="2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2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" fontId="8" fillId="0" borderId="1" xfId="0" quotePrefix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165" fontId="12" fillId="0" borderId="1" xfId="0" applyNumberFormat="1" applyFont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0" xfId="0" applyAlignment="1">
      <alignment horizontal="center"/>
    </xf>
  </cellXfs>
  <cellStyles count="8">
    <cellStyle name="Excel_BuiltIn_Comma" xfId="5" xr:uid="{CE79C9B1-3C3B-4F70-8B63-DCF49D2375C7}"/>
    <cellStyle name="Hiperlink" xfId="2" builtinId="8"/>
    <cellStyle name="Moeda 2" xfId="6" xr:uid="{CB59EB5A-C67F-4FD0-B7B8-F1851E2ECAD9}"/>
    <cellStyle name="Moeda 3" xfId="7" xr:uid="{AA16F919-C69B-4AEF-86C0-4B70440BB977}"/>
    <cellStyle name="Normal" xfId="0" builtinId="0"/>
    <cellStyle name="Normal 2" xfId="3" xr:uid="{2A47475D-C5D9-41A9-AC09-9B82030D9CA3}"/>
    <cellStyle name="Título 5" xfId="1" xr:uid="{00000000-0005-0000-0000-000002000000}"/>
    <cellStyle name="Vírgula 2" xfId="4" xr:uid="{0E708643-877F-4CCE-B937-946277C518F3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9900"/>
      <rgbColor rgb="FF000080"/>
      <rgbColor rgb="FF808000"/>
      <rgbColor rgb="FF800080"/>
      <rgbColor rgb="FF008080"/>
      <rgbColor rgb="FFB2B2B2"/>
      <rgbColor rgb="FF808080"/>
      <rgbColor rgb="FF9999FF"/>
      <rgbColor rgb="FF7030A0"/>
      <rgbColor rgb="FFFFFFCC"/>
      <rgbColor rgb="FFCCFFFF"/>
      <rgbColor rgb="FF660066"/>
      <rgbColor rgb="FFFF8080"/>
      <rgbColor rgb="FF0070C0"/>
      <rgbColor rgb="FFCCCCFF"/>
      <rgbColor rgb="FF00206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B681B-15BF-41D4-8CFD-DDCFAD1160AC}">
  <sheetPr>
    <tabColor rgb="FF0070C0"/>
  </sheetPr>
  <dimension ref="A1:Q172"/>
  <sheetViews>
    <sheetView showGridLines="0" view="pageBreakPreview" topLeftCell="A7" zoomScaleNormal="100" zoomScaleSheetLayoutView="100" zoomScalePageLayoutView="95" workbookViewId="0">
      <selection activeCell="K60" sqref="K60"/>
    </sheetView>
  </sheetViews>
  <sheetFormatPr defaultRowHeight="12.5"/>
  <cols>
    <col min="1" max="9" width="8.7265625" customWidth="1"/>
    <col min="10" max="10" width="15.453125" customWidth="1"/>
    <col min="11" max="11" width="17.453125" customWidth="1"/>
    <col min="12" max="12" width="17" customWidth="1"/>
    <col min="13" max="16" width="8.7265625" customWidth="1"/>
    <col min="17" max="17" width="10.81640625" customWidth="1"/>
    <col min="18" max="1025" width="8.7265625" customWidth="1"/>
  </cols>
  <sheetData>
    <row r="1" spans="1:12" ht="24.25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2" ht="46.5" customHeight="1">
      <c r="A2" s="136" t="s">
        <v>297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2" ht="14.65" customHeight="1">
      <c r="A3" s="109" t="s">
        <v>1</v>
      </c>
      <c r="B3" s="109"/>
      <c r="C3" s="109"/>
      <c r="D3" s="109"/>
      <c r="E3" s="109"/>
      <c r="F3" s="109"/>
      <c r="G3" s="109"/>
      <c r="H3" s="138" t="s">
        <v>145</v>
      </c>
      <c r="I3" s="139"/>
      <c r="J3" s="139"/>
    </row>
    <row r="4" spans="1:12" ht="14.65" customHeight="1">
      <c r="A4" s="109" t="s">
        <v>2</v>
      </c>
      <c r="B4" s="109"/>
      <c r="C4" s="109"/>
      <c r="D4" s="109"/>
      <c r="E4" s="109"/>
      <c r="F4" s="109"/>
      <c r="G4" s="109"/>
      <c r="H4" s="140" t="s">
        <v>144</v>
      </c>
      <c r="I4" s="139"/>
      <c r="J4" s="139"/>
    </row>
    <row r="5" spans="1:12" ht="14.65" customHeight="1">
      <c r="A5" s="109" t="s">
        <v>3</v>
      </c>
      <c r="B5" s="109"/>
      <c r="C5" s="109"/>
      <c r="D5" s="109"/>
      <c r="E5" s="109"/>
      <c r="F5" s="109"/>
      <c r="G5" s="109"/>
      <c r="H5" s="109"/>
      <c r="I5" s="109"/>
      <c r="J5" s="109"/>
    </row>
    <row r="6" spans="1:12" ht="16.149999999999999" customHeight="1">
      <c r="A6" s="142" t="s">
        <v>4</v>
      </c>
      <c r="B6" s="142"/>
      <c r="C6" s="142"/>
      <c r="D6" s="142"/>
      <c r="E6" s="142"/>
      <c r="F6" s="142"/>
      <c r="G6" s="142"/>
      <c r="H6" s="142"/>
      <c r="I6" s="142"/>
      <c r="J6" s="142"/>
    </row>
    <row r="7" spans="1:12" ht="14.65" customHeight="1">
      <c r="A7" s="1" t="s">
        <v>5</v>
      </c>
      <c r="B7" s="109" t="s">
        <v>6</v>
      </c>
      <c r="C7" s="109"/>
      <c r="D7" s="109"/>
      <c r="E7" s="109"/>
      <c r="F7" s="109"/>
      <c r="G7" s="109"/>
      <c r="H7" s="141">
        <v>44029</v>
      </c>
      <c r="I7" s="141"/>
      <c r="J7" s="141"/>
    </row>
    <row r="8" spans="1:12" ht="14.65" customHeight="1">
      <c r="A8" s="1" t="s">
        <v>7</v>
      </c>
      <c r="B8" s="109" t="s">
        <v>8</v>
      </c>
      <c r="C8" s="109"/>
      <c r="D8" s="109"/>
      <c r="E8" s="109"/>
      <c r="F8" s="109"/>
      <c r="G8" s="109"/>
      <c r="H8" s="141" t="s">
        <v>140</v>
      </c>
      <c r="I8" s="141"/>
      <c r="J8" s="141"/>
    </row>
    <row r="9" spans="1:12" ht="39" customHeight="1">
      <c r="A9" s="1" t="s">
        <v>9</v>
      </c>
      <c r="B9" s="109" t="s">
        <v>10</v>
      </c>
      <c r="C9" s="109"/>
      <c r="D9" s="109"/>
      <c r="E9" s="109"/>
      <c r="F9" s="109"/>
      <c r="G9" s="109"/>
      <c r="H9" s="141" t="s">
        <v>11</v>
      </c>
      <c r="I9" s="141"/>
      <c r="J9" s="141"/>
      <c r="L9" s="55"/>
    </row>
    <row r="10" spans="1:12" ht="14.65" customHeight="1">
      <c r="A10" s="1" t="s">
        <v>12</v>
      </c>
      <c r="B10" s="109" t="s">
        <v>13</v>
      </c>
      <c r="C10" s="109"/>
      <c r="D10" s="109"/>
      <c r="E10" s="109"/>
      <c r="F10" s="109"/>
      <c r="G10" s="109"/>
      <c r="H10" s="139">
        <v>12</v>
      </c>
      <c r="I10" s="139"/>
      <c r="J10" s="139"/>
    </row>
    <row r="11" spans="1:12" ht="13">
      <c r="A11" s="101"/>
      <c r="B11" s="101"/>
      <c r="C11" s="101"/>
      <c r="D11" s="101"/>
      <c r="E11" s="101"/>
      <c r="F11" s="101"/>
      <c r="G11" s="101"/>
      <c r="H11" s="101"/>
      <c r="I11" s="101"/>
      <c r="J11" s="101"/>
    </row>
    <row r="12" spans="1:12" ht="48.75" customHeight="1">
      <c r="A12" s="132" t="s">
        <v>14</v>
      </c>
      <c r="B12" s="132"/>
      <c r="C12" s="132"/>
      <c r="D12" s="132"/>
      <c r="E12" s="132"/>
      <c r="F12" s="132"/>
      <c r="G12" s="132"/>
      <c r="H12" s="132"/>
      <c r="I12" s="132"/>
      <c r="J12" s="132"/>
      <c r="L12" s="55"/>
    </row>
    <row r="13" spans="1:12" ht="13">
      <c r="A13" s="101"/>
      <c r="B13" s="101"/>
      <c r="C13" s="101"/>
      <c r="D13" s="101"/>
      <c r="E13" s="101"/>
      <c r="F13" s="101"/>
      <c r="G13" s="101"/>
      <c r="H13" s="101"/>
      <c r="I13" s="101"/>
      <c r="J13" s="101"/>
    </row>
    <row r="14" spans="1:12" ht="16.149999999999999" customHeight="1">
      <c r="A14" s="115" t="s">
        <v>15</v>
      </c>
      <c r="B14" s="115"/>
      <c r="C14" s="115"/>
      <c r="D14" s="115"/>
      <c r="E14" s="115"/>
      <c r="F14" s="115"/>
      <c r="G14" s="115"/>
      <c r="H14" s="115"/>
      <c r="I14" s="115"/>
      <c r="J14" s="115"/>
      <c r="L14" s="55"/>
    </row>
    <row r="15" spans="1:12" ht="16.149999999999999" customHeight="1">
      <c r="A15" s="1">
        <v>1</v>
      </c>
      <c r="B15" s="109" t="s">
        <v>16</v>
      </c>
      <c r="C15" s="109"/>
      <c r="D15" s="109"/>
      <c r="E15" s="109"/>
      <c r="F15" s="109"/>
      <c r="G15" s="109"/>
      <c r="H15" s="134" t="s">
        <v>17</v>
      </c>
      <c r="I15" s="134"/>
      <c r="J15" s="134"/>
    </row>
    <row r="16" spans="1:12" ht="16.149999999999999" customHeight="1">
      <c r="A16" s="1">
        <v>2</v>
      </c>
      <c r="B16" s="109" t="s">
        <v>18</v>
      </c>
      <c r="C16" s="109"/>
      <c r="D16" s="109"/>
      <c r="E16" s="109"/>
      <c r="F16" s="109"/>
      <c r="G16" s="109"/>
      <c r="H16" s="134">
        <v>9511</v>
      </c>
      <c r="I16" s="134"/>
      <c r="J16" s="134"/>
    </row>
    <row r="17" spans="1:17" ht="16.149999999999999" customHeight="1">
      <c r="A17" s="1">
        <v>3</v>
      </c>
      <c r="B17" s="109" t="s">
        <v>19</v>
      </c>
      <c r="C17" s="109"/>
      <c r="D17" s="109"/>
      <c r="E17" s="109"/>
      <c r="F17" s="109"/>
      <c r="G17" s="109"/>
      <c r="H17" s="143">
        <v>1578.31</v>
      </c>
      <c r="I17" s="143"/>
      <c r="J17" s="143"/>
    </row>
    <row r="18" spans="1:17" ht="16.149999999999999" customHeight="1">
      <c r="A18" s="1">
        <v>4</v>
      </c>
      <c r="B18" s="109" t="s">
        <v>20</v>
      </c>
      <c r="C18" s="109"/>
      <c r="D18" s="109"/>
      <c r="E18" s="109"/>
      <c r="F18" s="109"/>
      <c r="G18" s="109"/>
      <c r="H18" s="134" t="s">
        <v>165</v>
      </c>
      <c r="I18" s="134"/>
      <c r="J18" s="134"/>
    </row>
    <row r="19" spans="1:17" ht="16.149999999999999" customHeight="1">
      <c r="A19" s="1">
        <v>5</v>
      </c>
      <c r="B19" s="109" t="s">
        <v>21</v>
      </c>
      <c r="C19" s="109"/>
      <c r="D19" s="109"/>
      <c r="E19" s="109"/>
      <c r="F19" s="109"/>
      <c r="G19" s="109"/>
      <c r="H19" s="133" t="s">
        <v>141</v>
      </c>
      <c r="I19" s="133"/>
      <c r="J19" s="133"/>
    </row>
    <row r="20" spans="1:17" ht="16.149999999999999" customHeight="1">
      <c r="A20" s="1">
        <v>5</v>
      </c>
      <c r="B20" s="109" t="s">
        <v>133</v>
      </c>
      <c r="C20" s="109"/>
      <c r="D20" s="109"/>
      <c r="E20" s="109"/>
      <c r="F20" s="109"/>
      <c r="G20" s="109"/>
      <c r="H20" s="131">
        <v>44</v>
      </c>
      <c r="I20" s="131"/>
      <c r="J20" s="131"/>
    </row>
    <row r="21" spans="1:17" ht="13">
      <c r="A21" s="101"/>
      <c r="B21" s="101"/>
      <c r="C21" s="101"/>
      <c r="D21" s="101"/>
      <c r="E21" s="101"/>
      <c r="F21" s="101"/>
      <c r="G21" s="101"/>
      <c r="H21" s="101"/>
      <c r="I21" s="101"/>
      <c r="J21" s="101"/>
    </row>
    <row r="22" spans="1:17" ht="20.65" customHeight="1">
      <c r="A22" s="132" t="s">
        <v>22</v>
      </c>
      <c r="B22" s="132"/>
      <c r="C22" s="132"/>
      <c r="D22" s="132"/>
      <c r="E22" s="132"/>
      <c r="F22" s="132"/>
      <c r="G22" s="132"/>
      <c r="H22" s="132"/>
      <c r="I22" s="132"/>
      <c r="J22" s="132"/>
    </row>
    <row r="23" spans="1:17" ht="30.4" customHeight="1">
      <c r="A23" s="64">
        <v>1</v>
      </c>
      <c r="B23" s="115" t="s">
        <v>23</v>
      </c>
      <c r="C23" s="115"/>
      <c r="D23" s="115"/>
      <c r="E23" s="115"/>
      <c r="F23" s="115"/>
      <c r="G23" s="115"/>
      <c r="H23" s="115" t="s">
        <v>24</v>
      </c>
      <c r="I23" s="115"/>
      <c r="J23" s="64" t="s">
        <v>25</v>
      </c>
    </row>
    <row r="24" spans="1:17" ht="12.75" customHeight="1">
      <c r="A24" s="1" t="s">
        <v>5</v>
      </c>
      <c r="B24" s="109" t="s">
        <v>143</v>
      </c>
      <c r="C24" s="109"/>
      <c r="D24" s="109"/>
      <c r="E24" s="109"/>
      <c r="F24" s="109"/>
      <c r="G24" s="109"/>
      <c r="H24" s="109"/>
      <c r="I24" s="109"/>
      <c r="J24" s="2">
        <f>ROUND(H17/44*H20,2)</f>
        <v>1578.31</v>
      </c>
    </row>
    <row r="25" spans="1:17" ht="12.75" customHeight="1">
      <c r="A25" s="66" t="s">
        <v>7</v>
      </c>
      <c r="B25" s="109" t="s">
        <v>26</v>
      </c>
      <c r="C25" s="109"/>
      <c r="D25" s="109"/>
      <c r="E25" s="109"/>
      <c r="F25" s="109"/>
      <c r="G25" s="109"/>
      <c r="H25" s="109"/>
      <c r="I25" s="3"/>
      <c r="J25" s="2"/>
      <c r="K25" s="57"/>
    </row>
    <row r="26" spans="1:17" ht="12.75" customHeight="1">
      <c r="A26" s="66" t="s">
        <v>9</v>
      </c>
      <c r="B26" s="109" t="s">
        <v>27</v>
      </c>
      <c r="C26" s="109"/>
      <c r="D26" s="109"/>
      <c r="E26" s="109"/>
      <c r="F26" s="109"/>
      <c r="G26" s="109"/>
      <c r="H26" s="109"/>
      <c r="I26" s="109"/>
      <c r="J26" s="2"/>
    </row>
    <row r="27" spans="1:17" ht="12.75" customHeight="1">
      <c r="A27" s="66" t="s">
        <v>12</v>
      </c>
      <c r="B27" s="109" t="s">
        <v>28</v>
      </c>
      <c r="C27" s="109"/>
      <c r="D27" s="109"/>
      <c r="E27" s="109"/>
      <c r="F27" s="109"/>
      <c r="G27" s="109"/>
      <c r="H27" s="109"/>
      <c r="I27" s="109"/>
      <c r="J27" s="2"/>
    </row>
    <row r="28" spans="1:17" ht="12.75" customHeight="1">
      <c r="A28" s="66" t="s">
        <v>29</v>
      </c>
      <c r="B28" s="109" t="s">
        <v>30</v>
      </c>
      <c r="C28" s="109"/>
      <c r="D28" s="109"/>
      <c r="E28" s="109"/>
      <c r="F28" s="109"/>
      <c r="G28" s="109"/>
      <c r="H28" s="109"/>
      <c r="I28" s="109"/>
      <c r="J28" s="2"/>
      <c r="Q28" s="54"/>
    </row>
    <row r="29" spans="1:17" ht="12.75" customHeight="1">
      <c r="A29" s="1" t="s">
        <v>7</v>
      </c>
      <c r="B29" s="109" t="s">
        <v>31</v>
      </c>
      <c r="C29" s="109"/>
      <c r="D29" s="109"/>
      <c r="E29" s="109"/>
      <c r="F29" s="109"/>
      <c r="G29" s="109"/>
      <c r="H29" s="109"/>
      <c r="I29" s="4"/>
      <c r="J29" s="2">
        <f>I29*J24</f>
        <v>0</v>
      </c>
      <c r="Q29" s="54"/>
    </row>
    <row r="30" spans="1:17" ht="15.75" customHeight="1">
      <c r="A30" s="116" t="s">
        <v>32</v>
      </c>
      <c r="B30" s="116"/>
      <c r="C30" s="116"/>
      <c r="D30" s="116"/>
      <c r="E30" s="116"/>
      <c r="F30" s="116"/>
      <c r="G30" s="116"/>
      <c r="H30" s="116"/>
      <c r="I30" s="116"/>
      <c r="J30" s="5">
        <f>SUM(J24:J29)</f>
        <v>1578.31</v>
      </c>
    </row>
    <row r="31" spans="1:17" ht="13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Q31" s="54"/>
    </row>
    <row r="32" spans="1:17" ht="16.149999999999999" customHeight="1">
      <c r="A32" s="112" t="s">
        <v>33</v>
      </c>
      <c r="B32" s="112"/>
      <c r="C32" s="112"/>
      <c r="D32" s="112"/>
      <c r="E32" s="112"/>
      <c r="F32" s="112"/>
      <c r="G32" s="112"/>
      <c r="H32" s="112"/>
      <c r="I32" s="112"/>
      <c r="J32" s="112"/>
    </row>
    <row r="33" spans="1:13" ht="14">
      <c r="A33" s="129" t="s">
        <v>34</v>
      </c>
      <c r="B33" s="129"/>
      <c r="C33" s="129"/>
      <c r="D33" s="129"/>
      <c r="E33" s="129"/>
      <c r="F33" s="129"/>
      <c r="G33" s="129"/>
      <c r="H33" s="129"/>
      <c r="I33" s="129"/>
      <c r="J33" s="129"/>
    </row>
    <row r="34" spans="1:13" ht="14">
      <c r="A34" s="6" t="s">
        <v>35</v>
      </c>
      <c r="B34" s="130" t="s">
        <v>36</v>
      </c>
      <c r="C34" s="130"/>
      <c r="D34" s="130"/>
      <c r="E34" s="130"/>
      <c r="F34" s="130"/>
      <c r="G34" s="130"/>
      <c r="H34" s="130"/>
      <c r="I34" s="130"/>
      <c r="J34" s="7" t="s">
        <v>37</v>
      </c>
    </row>
    <row r="35" spans="1:13" ht="27.65" customHeight="1">
      <c r="A35" s="8" t="s">
        <v>5</v>
      </c>
      <c r="B35" s="109" t="s">
        <v>38</v>
      </c>
      <c r="C35" s="109"/>
      <c r="D35" s="109"/>
      <c r="E35" s="109"/>
      <c r="F35" s="109"/>
      <c r="G35" s="109"/>
      <c r="H35" s="109"/>
      <c r="I35" s="9">
        <v>8.3299999999999999E-2</v>
      </c>
      <c r="J35" s="10">
        <f>ROUND($J$30*I35,2)</f>
        <v>131.47</v>
      </c>
      <c r="M35" s="55"/>
    </row>
    <row r="36" spans="1:13" ht="36.25" customHeight="1">
      <c r="A36" s="8" t="s">
        <v>7</v>
      </c>
      <c r="B36" s="120" t="s">
        <v>39</v>
      </c>
      <c r="C36" s="120"/>
      <c r="D36" s="120"/>
      <c r="E36" s="120"/>
      <c r="F36" s="120"/>
      <c r="G36" s="120"/>
      <c r="H36" s="120"/>
      <c r="I36" s="11">
        <v>3.0249999999999999E-2</v>
      </c>
      <c r="J36" s="10">
        <f>ROUND($J$30*I36,2)</f>
        <v>47.74</v>
      </c>
    </row>
    <row r="37" spans="1:13" ht="13">
      <c r="A37" s="128" t="s">
        <v>40</v>
      </c>
      <c r="B37" s="128"/>
      <c r="C37" s="128"/>
      <c r="D37" s="128"/>
      <c r="E37" s="128"/>
      <c r="F37" s="128"/>
      <c r="G37" s="128"/>
      <c r="H37" s="128"/>
      <c r="I37" s="128"/>
      <c r="J37" s="65">
        <f>SUM(J35+J36)</f>
        <v>179.21</v>
      </c>
    </row>
    <row r="38" spans="1:13" ht="13">
      <c r="A38" s="101"/>
      <c r="B38" s="101"/>
      <c r="C38" s="101"/>
      <c r="D38" s="101"/>
      <c r="E38" s="101"/>
      <c r="F38" s="101"/>
      <c r="G38" s="101"/>
      <c r="H38" s="101"/>
      <c r="I38" s="101"/>
      <c r="J38" s="101"/>
    </row>
    <row r="39" spans="1:13" ht="30.4" customHeight="1">
      <c r="A39" s="112" t="s">
        <v>41</v>
      </c>
      <c r="B39" s="112"/>
      <c r="C39" s="112"/>
      <c r="D39" s="112"/>
      <c r="E39" s="112"/>
      <c r="F39" s="112"/>
      <c r="G39" s="112"/>
      <c r="H39" s="112"/>
      <c r="I39" s="112"/>
      <c r="J39" s="112"/>
    </row>
    <row r="40" spans="1:13" ht="30.4" customHeight="1">
      <c r="A40" s="63" t="s">
        <v>42</v>
      </c>
      <c r="B40" s="113" t="s">
        <v>43</v>
      </c>
      <c r="C40" s="113"/>
      <c r="D40" s="113"/>
      <c r="E40" s="113"/>
      <c r="F40" s="113"/>
      <c r="G40" s="113"/>
      <c r="H40" s="113"/>
      <c r="I40" s="64" t="s">
        <v>44</v>
      </c>
      <c r="J40" s="64" t="s">
        <v>45</v>
      </c>
    </row>
    <row r="41" spans="1:13" ht="13">
      <c r="A41" s="8" t="s">
        <v>5</v>
      </c>
      <c r="B41" s="104" t="s">
        <v>46</v>
      </c>
      <c r="C41" s="104"/>
      <c r="D41" s="104"/>
      <c r="E41" s="104"/>
      <c r="F41" s="104"/>
      <c r="G41" s="104"/>
      <c r="H41" s="104"/>
      <c r="I41" s="15">
        <v>0.2</v>
      </c>
      <c r="J41" s="16">
        <f>ROUND(($J$30+$J$37)*I41,2)</f>
        <v>351.5</v>
      </c>
    </row>
    <row r="42" spans="1:13" ht="13">
      <c r="A42" s="8" t="s">
        <v>7</v>
      </c>
      <c r="B42" s="104" t="s">
        <v>47</v>
      </c>
      <c r="C42" s="104"/>
      <c r="D42" s="104"/>
      <c r="E42" s="104"/>
      <c r="F42" s="104"/>
      <c r="G42" s="104"/>
      <c r="H42" s="104"/>
      <c r="I42" s="15">
        <v>2.5000000000000001E-2</v>
      </c>
      <c r="J42" s="16">
        <f t="shared" ref="J42:J48" si="0">ROUND(($J$30+$J$37)*I42,2)</f>
        <v>43.94</v>
      </c>
    </row>
    <row r="43" spans="1:13" ht="23.9" customHeight="1">
      <c r="A43" s="8" t="s">
        <v>9</v>
      </c>
      <c r="B43" s="109" t="s">
        <v>48</v>
      </c>
      <c r="C43" s="109"/>
      <c r="D43" s="109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17.579999999999998</v>
      </c>
    </row>
    <row r="44" spans="1:13" ht="13">
      <c r="A44" s="8" t="s">
        <v>12</v>
      </c>
      <c r="B44" s="104" t="s">
        <v>51</v>
      </c>
      <c r="C44" s="104"/>
      <c r="D44" s="104"/>
      <c r="E44" s="104"/>
      <c r="F44" s="104"/>
      <c r="G44" s="104"/>
      <c r="H44" s="104"/>
      <c r="I44" s="15">
        <v>1.4999999999999999E-2</v>
      </c>
      <c r="J44" s="16">
        <f t="shared" si="0"/>
        <v>26.36</v>
      </c>
    </row>
    <row r="45" spans="1:13" ht="13">
      <c r="A45" s="8" t="s">
        <v>29</v>
      </c>
      <c r="B45" s="104" t="s">
        <v>52</v>
      </c>
      <c r="C45" s="104"/>
      <c r="D45" s="104"/>
      <c r="E45" s="104"/>
      <c r="F45" s="104"/>
      <c r="G45" s="104"/>
      <c r="H45" s="104"/>
      <c r="I45" s="15">
        <v>0.01</v>
      </c>
      <c r="J45" s="16">
        <f t="shared" si="0"/>
        <v>17.579999999999998</v>
      </c>
    </row>
    <row r="46" spans="1:13" ht="13">
      <c r="A46" s="8" t="s">
        <v>53</v>
      </c>
      <c r="B46" s="104" t="s">
        <v>54</v>
      </c>
      <c r="C46" s="104"/>
      <c r="D46" s="104"/>
      <c r="E46" s="104"/>
      <c r="F46" s="104"/>
      <c r="G46" s="104"/>
      <c r="H46" s="104"/>
      <c r="I46" s="15">
        <v>6.0000000000000001E-3</v>
      </c>
      <c r="J46" s="16">
        <f t="shared" si="0"/>
        <v>10.55</v>
      </c>
    </row>
    <row r="47" spans="1:13" ht="13">
      <c r="A47" s="8" t="s">
        <v>55</v>
      </c>
      <c r="B47" s="104" t="s">
        <v>56</v>
      </c>
      <c r="C47" s="104"/>
      <c r="D47" s="104"/>
      <c r="E47" s="104"/>
      <c r="F47" s="104"/>
      <c r="G47" s="104"/>
      <c r="H47" s="104"/>
      <c r="I47" s="15">
        <v>2E-3</v>
      </c>
      <c r="J47" s="16">
        <f t="shared" si="0"/>
        <v>3.52</v>
      </c>
    </row>
    <row r="48" spans="1:13" ht="13">
      <c r="A48" s="8" t="s">
        <v>57</v>
      </c>
      <c r="B48" s="104" t="s">
        <v>58</v>
      </c>
      <c r="C48" s="104"/>
      <c r="D48" s="104"/>
      <c r="E48" s="104"/>
      <c r="F48" s="104"/>
      <c r="G48" s="104"/>
      <c r="H48" s="104"/>
      <c r="I48" s="15">
        <v>0.08</v>
      </c>
      <c r="J48" s="16">
        <f t="shared" si="0"/>
        <v>140.6</v>
      </c>
    </row>
    <row r="49" spans="1:12" ht="13">
      <c r="A49" s="105" t="s">
        <v>40</v>
      </c>
      <c r="B49" s="105"/>
      <c r="C49" s="105"/>
      <c r="D49" s="105"/>
      <c r="E49" s="105"/>
      <c r="F49" s="105"/>
      <c r="G49" s="105"/>
      <c r="H49" s="105"/>
      <c r="I49" s="21">
        <f>SUM(I41:I48)</f>
        <v>0.34800000000000003</v>
      </c>
      <c r="J49" s="14">
        <f>SUM(J41:J48)</f>
        <v>611.63</v>
      </c>
    </row>
    <row r="50" spans="1:12" ht="13">
      <c r="A50" s="101"/>
      <c r="B50" s="101"/>
      <c r="C50" s="101"/>
      <c r="D50" s="101"/>
      <c r="E50" s="101"/>
      <c r="F50" s="101"/>
      <c r="G50" s="101"/>
      <c r="H50" s="101"/>
      <c r="I50" s="101"/>
      <c r="J50" s="101"/>
    </row>
    <row r="51" spans="1:12" ht="16.149999999999999" customHeight="1">
      <c r="A51" s="112" t="s">
        <v>59</v>
      </c>
      <c r="B51" s="112"/>
      <c r="C51" s="112"/>
      <c r="D51" s="112"/>
      <c r="E51" s="112"/>
      <c r="F51" s="112"/>
      <c r="G51" s="112"/>
      <c r="H51" s="112"/>
      <c r="I51" s="112"/>
      <c r="J51" s="112"/>
      <c r="L51" s="53"/>
    </row>
    <row r="52" spans="1:12" ht="16.149999999999999" customHeight="1">
      <c r="A52" s="63" t="s">
        <v>60</v>
      </c>
      <c r="B52" s="113" t="s">
        <v>61</v>
      </c>
      <c r="C52" s="113"/>
      <c r="D52" s="113"/>
      <c r="E52" s="113"/>
      <c r="F52" s="113"/>
      <c r="G52" s="113"/>
      <c r="H52" s="113"/>
      <c r="I52" s="113"/>
      <c r="J52" s="64" t="s">
        <v>37</v>
      </c>
    </row>
    <row r="53" spans="1:12" ht="13">
      <c r="A53" s="8" t="s">
        <v>5</v>
      </c>
      <c r="B53" s="104" t="s">
        <v>62</v>
      </c>
      <c r="C53" s="104"/>
      <c r="D53" s="104"/>
      <c r="E53" s="104"/>
      <c r="F53" s="104"/>
      <c r="G53" s="104"/>
      <c r="H53" s="104"/>
      <c r="I53" s="104"/>
      <c r="J53" s="16">
        <f>IF(ROUND((I56*I54*I55)-(J24*0.06),2)&lt;0,0,ROUND((I56*I54*I55)-(J24*0.06),2))</f>
        <v>154.9</v>
      </c>
    </row>
    <row r="54" spans="1:12" ht="13">
      <c r="A54" s="8"/>
      <c r="B54" s="121" t="s">
        <v>63</v>
      </c>
      <c r="C54" s="121"/>
      <c r="D54" s="121"/>
      <c r="E54" s="121"/>
      <c r="F54" s="121"/>
      <c r="G54" s="121"/>
      <c r="H54" s="121"/>
      <c r="I54" s="22">
        <v>4.8</v>
      </c>
      <c r="J54" s="51" t="s">
        <v>64</v>
      </c>
    </row>
    <row r="55" spans="1:12" ht="13">
      <c r="A55" s="8"/>
      <c r="B55" s="121" t="s">
        <v>65</v>
      </c>
      <c r="C55" s="121"/>
      <c r="D55" s="121"/>
      <c r="E55" s="121"/>
      <c r="F55" s="121"/>
      <c r="G55" s="121"/>
      <c r="H55" s="121"/>
      <c r="I55" s="23">
        <v>2</v>
      </c>
      <c r="J55" s="51"/>
    </row>
    <row r="56" spans="1:12" ht="13">
      <c r="A56" s="8"/>
      <c r="B56" s="121" t="s">
        <v>66</v>
      </c>
      <c r="C56" s="121"/>
      <c r="D56" s="121"/>
      <c r="E56" s="121"/>
      <c r="F56" s="121"/>
      <c r="G56" s="121"/>
      <c r="H56" s="121"/>
      <c r="I56" s="24">
        <v>26</v>
      </c>
      <c r="J56" s="51"/>
    </row>
    <row r="57" spans="1:12" ht="13">
      <c r="A57" s="8" t="s">
        <v>7</v>
      </c>
      <c r="B57" s="104" t="s">
        <v>67</v>
      </c>
      <c r="C57" s="104"/>
      <c r="D57" s="104"/>
      <c r="E57" s="104"/>
      <c r="F57" s="104"/>
      <c r="G57" s="104"/>
      <c r="H57" s="104"/>
      <c r="I57" s="104"/>
      <c r="J57" s="16">
        <f>ROUND((I58*I59)-(I59*I58*I60),2)</f>
        <v>359.61</v>
      </c>
    </row>
    <row r="58" spans="1:12" ht="13">
      <c r="A58" s="8"/>
      <c r="B58" s="121" t="s">
        <v>68</v>
      </c>
      <c r="C58" s="121"/>
      <c r="D58" s="121"/>
      <c r="E58" s="121"/>
      <c r="F58" s="121"/>
      <c r="G58" s="121"/>
      <c r="H58" s="121"/>
      <c r="I58" s="22">
        <v>20.18</v>
      </c>
      <c r="J58" s="51" t="s">
        <v>64</v>
      </c>
    </row>
    <row r="59" spans="1:12" ht="13">
      <c r="A59" s="25"/>
      <c r="B59" s="121" t="s">
        <v>69</v>
      </c>
      <c r="C59" s="121"/>
      <c r="D59" s="121"/>
      <c r="E59" s="121"/>
      <c r="F59" s="121"/>
      <c r="G59" s="121"/>
      <c r="H59" s="121"/>
      <c r="I59" s="26">
        <v>22</v>
      </c>
      <c r="J59" s="51"/>
    </row>
    <row r="60" spans="1:12" ht="13">
      <c r="A60" s="25"/>
      <c r="B60" s="121" t="s">
        <v>132</v>
      </c>
      <c r="C60" s="121"/>
      <c r="D60" s="121"/>
      <c r="E60" s="121"/>
      <c r="F60" s="121"/>
      <c r="G60" s="121"/>
      <c r="H60" s="121"/>
      <c r="I60" s="52">
        <v>0.19</v>
      </c>
      <c r="J60" s="51"/>
    </row>
    <row r="61" spans="1:12" ht="27.65" customHeight="1">
      <c r="A61" s="8"/>
      <c r="B61" s="121" t="s">
        <v>208</v>
      </c>
      <c r="C61" s="121"/>
      <c r="D61" s="121"/>
      <c r="E61" s="121"/>
      <c r="F61" s="121"/>
      <c r="G61" s="121"/>
      <c r="H61" s="121"/>
      <c r="I61" s="22">
        <f>I58/2</f>
        <v>10.09</v>
      </c>
      <c r="J61" s="16">
        <f>ROUND((I61*I62)-(I61*I62*I60),2)</f>
        <v>32.69</v>
      </c>
    </row>
    <row r="62" spans="1:12" ht="27.65" customHeight="1">
      <c r="A62" s="25"/>
      <c r="B62" s="121" t="s">
        <v>69</v>
      </c>
      <c r="C62" s="121"/>
      <c r="D62" s="121"/>
      <c r="E62" s="121"/>
      <c r="F62" s="121"/>
      <c r="G62" s="121"/>
      <c r="H62" s="121"/>
      <c r="I62" s="26">
        <v>4</v>
      </c>
      <c r="J62" s="51"/>
      <c r="L62" s="50"/>
    </row>
    <row r="63" spans="1:12" ht="27.65" customHeight="1">
      <c r="A63" s="8" t="s">
        <v>12</v>
      </c>
      <c r="B63" s="122" t="s">
        <v>186</v>
      </c>
      <c r="C63" s="123"/>
      <c r="D63" s="123"/>
      <c r="E63" s="123"/>
      <c r="F63" s="123"/>
      <c r="G63" s="123"/>
      <c r="H63" s="123"/>
      <c r="I63" s="124"/>
      <c r="J63" s="27">
        <v>17.32</v>
      </c>
      <c r="L63" s="50"/>
    </row>
    <row r="64" spans="1:12" ht="13">
      <c r="A64" s="125" t="s">
        <v>32</v>
      </c>
      <c r="B64" s="126"/>
      <c r="C64" s="126"/>
      <c r="D64" s="126"/>
      <c r="E64" s="126"/>
      <c r="F64" s="126"/>
      <c r="G64" s="126"/>
      <c r="H64" s="126"/>
      <c r="I64" s="127"/>
      <c r="J64" s="14">
        <f>SUM(J53:J63)</f>
        <v>564.5200000000001</v>
      </c>
      <c r="L64" s="50"/>
    </row>
    <row r="65" spans="1:12" ht="13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L65" s="50"/>
    </row>
    <row r="66" spans="1:12" ht="16.149999999999999" customHeight="1">
      <c r="A66" s="112" t="s">
        <v>71</v>
      </c>
      <c r="B66" s="112"/>
      <c r="C66" s="112"/>
      <c r="D66" s="112"/>
      <c r="E66" s="112"/>
      <c r="F66" s="112"/>
      <c r="G66" s="112"/>
      <c r="H66" s="112"/>
      <c r="I66" s="112"/>
      <c r="J66" s="112"/>
      <c r="L66" s="50"/>
    </row>
    <row r="67" spans="1:12" ht="16.149999999999999" customHeight="1">
      <c r="A67" s="64">
        <v>2</v>
      </c>
      <c r="B67" s="115" t="s">
        <v>72</v>
      </c>
      <c r="C67" s="115"/>
      <c r="D67" s="115"/>
      <c r="E67" s="115"/>
      <c r="F67" s="115"/>
      <c r="G67" s="115"/>
      <c r="H67" s="115"/>
      <c r="I67" s="115"/>
      <c r="J67" s="64" t="s">
        <v>37</v>
      </c>
      <c r="L67" s="50"/>
    </row>
    <row r="68" spans="1:12" ht="14.65" customHeight="1">
      <c r="A68" s="1" t="s">
        <v>35</v>
      </c>
      <c r="B68" s="1"/>
      <c r="C68" s="109" t="s">
        <v>73</v>
      </c>
      <c r="D68" s="109"/>
      <c r="E68" s="109"/>
      <c r="F68" s="109"/>
      <c r="G68" s="109"/>
      <c r="H68" s="109"/>
      <c r="I68" s="109"/>
      <c r="J68" s="28">
        <f>J37</f>
        <v>179.21</v>
      </c>
      <c r="L68" s="50"/>
    </row>
    <row r="69" spans="1:12" ht="14.65" customHeight="1">
      <c r="A69" s="1" t="s">
        <v>42</v>
      </c>
      <c r="B69" s="1"/>
      <c r="C69" s="109" t="s">
        <v>43</v>
      </c>
      <c r="D69" s="109"/>
      <c r="E69" s="109"/>
      <c r="F69" s="109"/>
      <c r="G69" s="109"/>
      <c r="H69" s="109"/>
      <c r="I69" s="109"/>
      <c r="J69" s="28">
        <f>J49</f>
        <v>611.63</v>
      </c>
      <c r="L69" s="50"/>
    </row>
    <row r="70" spans="1:12" ht="14.65" customHeight="1">
      <c r="A70" s="1" t="s">
        <v>60</v>
      </c>
      <c r="B70" s="1"/>
      <c r="C70" s="109" t="s">
        <v>61</v>
      </c>
      <c r="D70" s="109"/>
      <c r="E70" s="109"/>
      <c r="F70" s="109"/>
      <c r="G70" s="109"/>
      <c r="H70" s="109"/>
      <c r="I70" s="109"/>
      <c r="J70" s="28">
        <f>J64</f>
        <v>564.5200000000001</v>
      </c>
      <c r="L70" s="50"/>
    </row>
    <row r="71" spans="1:12" ht="14.65" customHeight="1">
      <c r="A71" s="116" t="s">
        <v>40</v>
      </c>
      <c r="B71" s="116"/>
      <c r="C71" s="116"/>
      <c r="D71" s="116"/>
      <c r="E71" s="116"/>
      <c r="F71" s="116"/>
      <c r="G71" s="116"/>
      <c r="H71" s="116"/>
      <c r="I71" s="116"/>
      <c r="J71" s="29">
        <f>SUM(J68+J69+J70)</f>
        <v>1355.3600000000001</v>
      </c>
    </row>
    <row r="72" spans="1:12" ht="13">
      <c r="A72" s="101"/>
      <c r="B72" s="101"/>
      <c r="C72" s="101"/>
      <c r="D72" s="101"/>
      <c r="E72" s="101"/>
      <c r="F72" s="101"/>
      <c r="G72" s="101"/>
      <c r="H72" s="101"/>
      <c r="I72" s="101"/>
      <c r="J72" s="101"/>
    </row>
    <row r="73" spans="1:12" ht="16.149999999999999" customHeight="1">
      <c r="A73" s="112" t="s">
        <v>74</v>
      </c>
      <c r="B73" s="112"/>
      <c r="C73" s="112"/>
      <c r="D73" s="112"/>
      <c r="E73" s="112"/>
      <c r="F73" s="112"/>
      <c r="G73" s="112"/>
      <c r="H73" s="112"/>
      <c r="I73" s="112"/>
      <c r="J73" s="112"/>
    </row>
    <row r="74" spans="1:12" ht="16.149999999999999" customHeight="1">
      <c r="A74" s="63">
        <v>3</v>
      </c>
      <c r="B74" s="115" t="s">
        <v>75</v>
      </c>
      <c r="C74" s="115"/>
      <c r="D74" s="115"/>
      <c r="E74" s="115"/>
      <c r="F74" s="115"/>
      <c r="G74" s="115"/>
      <c r="H74" s="115"/>
      <c r="I74" s="115"/>
      <c r="J74" s="63" t="s">
        <v>76</v>
      </c>
    </row>
    <row r="75" spans="1:12" ht="46.5" customHeight="1">
      <c r="A75" s="8" t="s">
        <v>5</v>
      </c>
      <c r="B75" s="109" t="s">
        <v>135</v>
      </c>
      <c r="C75" s="109"/>
      <c r="D75" s="109"/>
      <c r="E75" s="109"/>
      <c r="F75" s="109"/>
      <c r="G75" s="109"/>
      <c r="H75" s="109"/>
      <c r="I75" s="109"/>
      <c r="J75" s="16">
        <f>ROUND(((J30)+(J35)+(J30/12)+(J36))/12*0.01,2)</f>
        <v>1.57</v>
      </c>
      <c r="L75" s="50"/>
    </row>
    <row r="76" spans="1:12" ht="14.65" customHeight="1">
      <c r="A76" s="8" t="s">
        <v>7</v>
      </c>
      <c r="B76" s="109" t="s">
        <v>77</v>
      </c>
      <c r="C76" s="109"/>
      <c r="D76" s="109"/>
      <c r="E76" s="109"/>
      <c r="F76" s="109"/>
      <c r="G76" s="109"/>
      <c r="H76" s="109"/>
      <c r="I76" s="109"/>
      <c r="J76" s="16">
        <f>ROUND($J$75*I48,2)</f>
        <v>0.13</v>
      </c>
    </row>
    <row r="77" spans="1:12" ht="36.25" customHeight="1">
      <c r="A77" s="8" t="s">
        <v>9</v>
      </c>
      <c r="B77" s="109" t="s">
        <v>136</v>
      </c>
      <c r="C77" s="109"/>
      <c r="D77" s="109"/>
      <c r="E77" s="109"/>
      <c r="F77" s="109"/>
      <c r="G77" s="109"/>
      <c r="H77" s="109"/>
      <c r="I77" s="30">
        <v>2.3999999999999998E-3</v>
      </c>
      <c r="J77" s="16">
        <f>ROUND($J$30*I77,2)</f>
        <v>3.79</v>
      </c>
    </row>
    <row r="78" spans="1:12" ht="34.5" customHeight="1">
      <c r="A78" s="8" t="s">
        <v>12</v>
      </c>
      <c r="B78" s="109" t="s">
        <v>138</v>
      </c>
      <c r="C78" s="109"/>
      <c r="D78" s="109"/>
      <c r="E78" s="109"/>
      <c r="F78" s="109"/>
      <c r="G78" s="109"/>
      <c r="H78" s="109"/>
      <c r="I78" s="109"/>
      <c r="J78" s="16">
        <f>J30/30*7/12*0.05</f>
        <v>1.5344680555555557</v>
      </c>
    </row>
    <row r="79" spans="1:12" ht="14.65" customHeight="1">
      <c r="A79" s="8" t="s">
        <v>29</v>
      </c>
      <c r="B79" s="109" t="s">
        <v>78</v>
      </c>
      <c r="C79" s="109"/>
      <c r="D79" s="109"/>
      <c r="E79" s="109"/>
      <c r="F79" s="109"/>
      <c r="G79" s="109"/>
      <c r="H79" s="109"/>
      <c r="I79" s="109"/>
      <c r="J79" s="16">
        <f>ROUND($I$49*J78,2)</f>
        <v>0.53</v>
      </c>
    </row>
    <row r="80" spans="1:12" ht="36.25" customHeight="1">
      <c r="A80" s="8" t="s">
        <v>53</v>
      </c>
      <c r="B80" s="109" t="s">
        <v>137</v>
      </c>
      <c r="C80" s="109"/>
      <c r="D80" s="109"/>
      <c r="E80" s="109"/>
      <c r="F80" s="109"/>
      <c r="G80" s="109"/>
      <c r="H80" s="109"/>
      <c r="I80" s="30">
        <v>3.7600000000000001E-2</v>
      </c>
      <c r="J80" s="16">
        <f>ROUND($J$30*I80,2)</f>
        <v>59.34</v>
      </c>
    </row>
    <row r="81" spans="1:10" ht="13">
      <c r="A81" s="105" t="s">
        <v>40</v>
      </c>
      <c r="B81" s="105"/>
      <c r="C81" s="105"/>
      <c r="D81" s="105"/>
      <c r="E81" s="105"/>
      <c r="F81" s="105"/>
      <c r="G81" s="105"/>
      <c r="H81" s="105"/>
      <c r="I81" s="105"/>
      <c r="J81" s="14">
        <f>SUM(J75:J80)</f>
        <v>66.894468055555564</v>
      </c>
    </row>
    <row r="82" spans="1:10" ht="13">
      <c r="A82" s="101"/>
      <c r="B82" s="101"/>
      <c r="C82" s="101"/>
      <c r="D82" s="101"/>
      <c r="E82" s="101"/>
      <c r="F82" s="101"/>
      <c r="G82" s="101"/>
      <c r="H82" s="101"/>
      <c r="I82" s="101"/>
      <c r="J82" s="101"/>
    </row>
    <row r="83" spans="1:10" ht="16.149999999999999" customHeight="1">
      <c r="A83" s="112" t="s">
        <v>79</v>
      </c>
      <c r="B83" s="112"/>
      <c r="C83" s="112"/>
      <c r="D83" s="112"/>
      <c r="E83" s="112"/>
      <c r="F83" s="112"/>
      <c r="G83" s="112"/>
      <c r="H83" s="112"/>
      <c r="I83" s="112"/>
      <c r="J83" s="112"/>
    </row>
    <row r="84" spans="1:10" ht="15" customHeight="1">
      <c r="A84" s="119" t="s">
        <v>80</v>
      </c>
      <c r="B84" s="119"/>
      <c r="C84" s="119"/>
      <c r="D84" s="119"/>
      <c r="E84" s="119"/>
      <c r="F84" s="119"/>
      <c r="G84" s="119"/>
      <c r="H84" s="119"/>
      <c r="I84" s="119"/>
      <c r="J84" s="31">
        <f>J87+J30+J35+J36</f>
        <v>1900.75</v>
      </c>
    </row>
    <row r="85" spans="1:10" ht="14.65" customHeight="1">
      <c r="A85" s="120"/>
      <c r="B85" s="120"/>
      <c r="C85" s="120"/>
      <c r="D85" s="120"/>
      <c r="E85" s="120"/>
      <c r="F85" s="120"/>
      <c r="G85" s="120"/>
      <c r="H85" s="120"/>
      <c r="I85" s="120"/>
      <c r="J85" s="120"/>
    </row>
    <row r="86" spans="1:10" ht="14">
      <c r="A86" s="32" t="s">
        <v>81</v>
      </c>
      <c r="B86" s="113" t="s">
        <v>82</v>
      </c>
      <c r="C86" s="113"/>
      <c r="D86" s="113"/>
      <c r="E86" s="113"/>
      <c r="F86" s="113"/>
      <c r="G86" s="113"/>
      <c r="H86" s="113"/>
      <c r="I86" s="113"/>
      <c r="J86" s="32" t="s">
        <v>37</v>
      </c>
    </row>
    <row r="87" spans="1:10" ht="12.75" customHeight="1">
      <c r="A87" s="12" t="s">
        <v>5</v>
      </c>
      <c r="B87" s="109" t="s">
        <v>83</v>
      </c>
      <c r="C87" s="109"/>
      <c r="D87" s="109"/>
      <c r="E87" s="109"/>
      <c r="F87" s="109"/>
      <c r="G87" s="109"/>
      <c r="H87" s="109"/>
      <c r="I87" s="33">
        <f>12.1%-I36</f>
        <v>9.0749999999999997E-2</v>
      </c>
      <c r="J87" s="16">
        <f>ROUND(($J$30*I87),2)</f>
        <v>143.22999999999999</v>
      </c>
    </row>
    <row r="88" spans="1:10" ht="13">
      <c r="A88" s="12" t="s">
        <v>7</v>
      </c>
      <c r="B88" s="104" t="s">
        <v>131</v>
      </c>
      <c r="C88" s="104"/>
      <c r="D88" s="104"/>
      <c r="E88" s="104"/>
      <c r="F88" s="104"/>
      <c r="G88" s="104"/>
      <c r="H88" s="104"/>
      <c r="I88" s="104"/>
      <c r="J88" s="34">
        <f>J84/30*0.1/12</f>
        <v>0.52798611111111116</v>
      </c>
    </row>
    <row r="89" spans="1:10" ht="13">
      <c r="A89" s="12" t="s">
        <v>9</v>
      </c>
      <c r="B89" s="104" t="s">
        <v>84</v>
      </c>
      <c r="C89" s="104"/>
      <c r="D89" s="104"/>
      <c r="E89" s="104"/>
      <c r="F89" s="104"/>
      <c r="G89" s="104"/>
      <c r="H89" s="104"/>
      <c r="I89" s="104"/>
      <c r="J89" s="34">
        <f>J84/30*5/12*1.5%</f>
        <v>0.39598958333333334</v>
      </c>
    </row>
    <row r="90" spans="1:10" ht="13">
      <c r="A90" s="12" t="s">
        <v>12</v>
      </c>
      <c r="B90" s="104" t="s">
        <v>85</v>
      </c>
      <c r="C90" s="104"/>
      <c r="D90" s="104"/>
      <c r="E90" s="104"/>
      <c r="F90" s="104"/>
      <c r="G90" s="104"/>
      <c r="H90" s="104"/>
      <c r="I90" s="104"/>
      <c r="J90" s="13">
        <f>J84/30*15/12*0.78%</f>
        <v>0.61774375000000004</v>
      </c>
    </row>
    <row r="91" spans="1:10" ht="13">
      <c r="A91" s="12" t="s">
        <v>29</v>
      </c>
      <c r="B91" s="104" t="s">
        <v>86</v>
      </c>
      <c r="C91" s="104"/>
      <c r="D91" s="104"/>
      <c r="E91" s="104"/>
      <c r="F91" s="104"/>
      <c r="G91" s="104"/>
      <c r="H91" s="104"/>
      <c r="I91" s="104"/>
      <c r="J91" s="16">
        <f>(J30+J36)/12*4/12*1%</f>
        <v>0.45168055555555553</v>
      </c>
    </row>
    <row r="92" spans="1:10" ht="13">
      <c r="A92" s="35" t="s">
        <v>53</v>
      </c>
      <c r="B92" s="118" t="s">
        <v>87</v>
      </c>
      <c r="C92" s="118"/>
      <c r="D92" s="118"/>
      <c r="E92" s="118"/>
      <c r="F92" s="118"/>
      <c r="G92" s="118"/>
      <c r="H92" s="118"/>
      <c r="I92" s="118"/>
      <c r="J92" s="13">
        <f>J84/30*0.15/12</f>
        <v>0.79197916666666668</v>
      </c>
    </row>
    <row r="93" spans="1:10" ht="13">
      <c r="A93" s="105" t="s">
        <v>40</v>
      </c>
      <c r="B93" s="105"/>
      <c r="C93" s="105"/>
      <c r="D93" s="105"/>
      <c r="E93" s="105"/>
      <c r="F93" s="105"/>
      <c r="G93" s="105"/>
      <c r="H93" s="105"/>
      <c r="I93" s="105"/>
      <c r="J93" s="36">
        <f>SUM(J87:J92)</f>
        <v>146.01537916666666</v>
      </c>
    </row>
    <row r="94" spans="1:10" ht="14.65" customHeight="1">
      <c r="A94" s="12"/>
      <c r="B94" s="104"/>
      <c r="C94" s="104"/>
      <c r="D94" s="104"/>
      <c r="E94" s="104"/>
      <c r="F94" s="104"/>
      <c r="G94" s="104"/>
      <c r="H94" s="104"/>
      <c r="I94" s="104"/>
      <c r="J94" s="13"/>
    </row>
    <row r="95" spans="1:10" ht="13">
      <c r="A95" s="105" t="s">
        <v>40</v>
      </c>
      <c r="B95" s="105"/>
      <c r="C95" s="105"/>
      <c r="D95" s="105"/>
      <c r="E95" s="105"/>
      <c r="F95" s="105"/>
      <c r="G95" s="105"/>
      <c r="H95" s="105"/>
      <c r="I95" s="105"/>
      <c r="J95" s="14">
        <f>SUM(J93:J94)</f>
        <v>146.01537916666666</v>
      </c>
    </row>
    <row r="96" spans="1:10" ht="16.149999999999999" customHeight="1">
      <c r="A96" s="112" t="s">
        <v>88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14">
      <c r="A97" s="63" t="s">
        <v>89</v>
      </c>
      <c r="B97" s="113" t="s">
        <v>90</v>
      </c>
      <c r="C97" s="113"/>
      <c r="D97" s="113"/>
      <c r="E97" s="113"/>
      <c r="F97" s="113"/>
      <c r="G97" s="113"/>
      <c r="H97" s="113"/>
      <c r="I97" s="113"/>
      <c r="J97" s="37" t="s">
        <v>37</v>
      </c>
    </row>
    <row r="98" spans="1:10" ht="13">
      <c r="A98" s="8" t="s">
        <v>5</v>
      </c>
      <c r="B98" s="104" t="s">
        <v>91</v>
      </c>
      <c r="C98" s="104"/>
      <c r="D98" s="104"/>
      <c r="E98" s="104"/>
      <c r="F98" s="104"/>
      <c r="G98" s="104"/>
      <c r="H98" s="104"/>
      <c r="I98" s="104"/>
      <c r="J98" s="16">
        <v>0</v>
      </c>
    </row>
    <row r="99" spans="1:10" ht="13">
      <c r="A99" s="117" t="s">
        <v>40</v>
      </c>
      <c r="B99" s="117"/>
      <c r="C99" s="117"/>
      <c r="D99" s="117"/>
      <c r="E99" s="117"/>
      <c r="F99" s="117"/>
      <c r="G99" s="117"/>
      <c r="H99" s="117"/>
      <c r="I99" s="117"/>
      <c r="J99" s="16">
        <v>0</v>
      </c>
    </row>
    <row r="100" spans="1:10" ht="13">
      <c r="A100" s="12"/>
      <c r="B100" s="104"/>
      <c r="C100" s="104"/>
      <c r="D100" s="104"/>
      <c r="E100" s="104"/>
      <c r="F100" s="104"/>
      <c r="G100" s="104"/>
      <c r="H100" s="104"/>
      <c r="I100" s="104"/>
      <c r="J100" s="13"/>
    </row>
    <row r="101" spans="1:10" ht="13">
      <c r="A101" s="105" t="s">
        <v>40</v>
      </c>
      <c r="B101" s="105"/>
      <c r="C101" s="105"/>
      <c r="D101" s="105"/>
      <c r="E101" s="105"/>
      <c r="F101" s="105"/>
      <c r="G101" s="105"/>
      <c r="H101" s="105"/>
      <c r="I101" s="105"/>
      <c r="J101" s="14">
        <f>SUM(J99:J100)</f>
        <v>0</v>
      </c>
    </row>
    <row r="102" spans="1:10" ht="13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</row>
    <row r="103" spans="1:10" ht="16.149999999999999" customHeight="1">
      <c r="A103" s="112" t="s">
        <v>92</v>
      </c>
      <c r="B103" s="112"/>
      <c r="C103" s="112"/>
      <c r="D103" s="112"/>
      <c r="E103" s="112"/>
      <c r="F103" s="112"/>
      <c r="G103" s="112"/>
      <c r="H103" s="112"/>
      <c r="I103" s="112"/>
      <c r="J103" s="112"/>
    </row>
    <row r="104" spans="1:10" ht="16.149999999999999" customHeight="1">
      <c r="A104" s="64">
        <v>4</v>
      </c>
      <c r="B104" s="115" t="s">
        <v>93</v>
      </c>
      <c r="C104" s="115"/>
      <c r="D104" s="115"/>
      <c r="E104" s="115"/>
      <c r="F104" s="115"/>
      <c r="G104" s="115"/>
      <c r="H104" s="115"/>
      <c r="I104" s="115"/>
      <c r="J104" s="37" t="s">
        <v>37</v>
      </c>
    </row>
    <row r="105" spans="1:10" ht="14.65" customHeight="1">
      <c r="A105" s="1" t="s">
        <v>81</v>
      </c>
      <c r="B105" s="109" t="s">
        <v>94</v>
      </c>
      <c r="C105" s="109"/>
      <c r="D105" s="109"/>
      <c r="E105" s="109"/>
      <c r="F105" s="109"/>
      <c r="G105" s="109"/>
      <c r="H105" s="109"/>
      <c r="I105" s="109"/>
      <c r="J105" s="16">
        <f>J95</f>
        <v>146.01537916666666</v>
      </c>
    </row>
    <row r="106" spans="1:10" ht="14.65" customHeight="1">
      <c r="A106" s="1" t="s">
        <v>95</v>
      </c>
      <c r="B106" s="109" t="s">
        <v>96</v>
      </c>
      <c r="C106" s="109"/>
      <c r="D106" s="109"/>
      <c r="E106" s="109"/>
      <c r="F106" s="109"/>
      <c r="G106" s="109"/>
      <c r="H106" s="109"/>
      <c r="I106" s="109"/>
      <c r="J106" s="16">
        <f>J101</f>
        <v>0</v>
      </c>
    </row>
    <row r="107" spans="1:10" ht="14.65" customHeight="1">
      <c r="A107" s="116" t="s">
        <v>40</v>
      </c>
      <c r="B107" s="116"/>
      <c r="C107" s="116"/>
      <c r="D107" s="116"/>
      <c r="E107" s="116"/>
      <c r="F107" s="116"/>
      <c r="G107" s="116"/>
      <c r="H107" s="116"/>
      <c r="I107" s="116"/>
      <c r="J107" s="14">
        <f>SUM(J105+J106)</f>
        <v>146.01537916666666</v>
      </c>
    </row>
    <row r="108" spans="1:10" ht="13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</row>
    <row r="109" spans="1:10" ht="16.149999999999999" customHeight="1">
      <c r="A109" s="112" t="s">
        <v>97</v>
      </c>
      <c r="B109" s="112"/>
      <c r="C109" s="112"/>
      <c r="D109" s="112"/>
      <c r="E109" s="112"/>
      <c r="F109" s="112"/>
      <c r="G109" s="112"/>
      <c r="H109" s="112"/>
      <c r="I109" s="112"/>
      <c r="J109" s="112"/>
    </row>
    <row r="110" spans="1:10" ht="16.149999999999999" customHeight="1">
      <c r="A110" s="63">
        <v>5</v>
      </c>
      <c r="B110" s="113" t="s">
        <v>98</v>
      </c>
      <c r="C110" s="113"/>
      <c r="D110" s="113"/>
      <c r="E110" s="113"/>
      <c r="F110" s="113"/>
      <c r="G110" s="113"/>
      <c r="H110" s="113"/>
      <c r="I110" s="113"/>
      <c r="J110" s="63" t="s">
        <v>37</v>
      </c>
    </row>
    <row r="111" spans="1:10" ht="13">
      <c r="A111" s="8" t="s">
        <v>5</v>
      </c>
      <c r="B111" s="104" t="s">
        <v>185</v>
      </c>
      <c r="C111" s="104"/>
      <c r="D111" s="104"/>
      <c r="E111" s="104"/>
      <c r="F111" s="104"/>
      <c r="G111" s="104"/>
      <c r="H111" s="104"/>
      <c r="I111" s="104"/>
      <c r="J111" s="16">
        <f>Descritivo!E48</f>
        <v>91.369065656565652</v>
      </c>
    </row>
    <row r="112" spans="1:10" ht="13">
      <c r="A112" s="8" t="s">
        <v>7</v>
      </c>
      <c r="B112" s="104" t="s">
        <v>99</v>
      </c>
      <c r="C112" s="104"/>
      <c r="D112" s="104"/>
      <c r="E112" s="104"/>
      <c r="F112" s="104"/>
      <c r="G112" s="104"/>
      <c r="H112" s="104"/>
      <c r="I112" s="104"/>
      <c r="J112" s="27">
        <f>Descritivo!D93</f>
        <v>116.16919191919192</v>
      </c>
    </row>
    <row r="113" spans="1:10" ht="13">
      <c r="A113" s="8" t="s">
        <v>9</v>
      </c>
      <c r="B113" s="104" t="s">
        <v>139</v>
      </c>
      <c r="C113" s="104"/>
      <c r="D113" s="104"/>
      <c r="E113" s="104"/>
      <c r="F113" s="104"/>
      <c r="G113" s="104"/>
      <c r="H113" s="104"/>
      <c r="I113" s="104"/>
      <c r="J113" s="27">
        <f>Descritivo!C101</f>
        <v>36.363636363636367</v>
      </c>
    </row>
    <row r="114" spans="1:10" ht="13">
      <c r="A114" s="8" t="s">
        <v>12</v>
      </c>
      <c r="B114" s="104" t="s">
        <v>100</v>
      </c>
      <c r="C114" s="104"/>
      <c r="D114" s="104"/>
      <c r="E114" s="104"/>
      <c r="F114" s="104"/>
      <c r="G114" s="104"/>
      <c r="H114" s="104"/>
      <c r="I114" s="104"/>
      <c r="J114" s="27"/>
    </row>
    <row r="115" spans="1:10" ht="13">
      <c r="A115" s="105" t="s">
        <v>32</v>
      </c>
      <c r="B115" s="105"/>
      <c r="C115" s="105"/>
      <c r="D115" s="105"/>
      <c r="E115" s="105"/>
      <c r="F115" s="105"/>
      <c r="G115" s="105"/>
      <c r="H115" s="105"/>
      <c r="I115" s="105"/>
      <c r="J115" s="38">
        <f>SUM(J111:J114)</f>
        <v>243.90189393939394</v>
      </c>
    </row>
    <row r="116" spans="1:10" ht="13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</row>
    <row r="117" spans="1:10" ht="16.149999999999999" customHeight="1">
      <c r="A117" s="112" t="s">
        <v>101</v>
      </c>
      <c r="B117" s="112"/>
      <c r="C117" s="112"/>
      <c r="D117" s="112"/>
      <c r="E117" s="112"/>
      <c r="F117" s="112"/>
      <c r="G117" s="112"/>
      <c r="H117" s="112"/>
      <c r="I117" s="112"/>
      <c r="J117" s="112"/>
    </row>
    <row r="118" spans="1:10" ht="28">
      <c r="A118" s="63">
        <v>6</v>
      </c>
      <c r="B118" s="113" t="s">
        <v>102</v>
      </c>
      <c r="C118" s="113"/>
      <c r="D118" s="113"/>
      <c r="E118" s="113"/>
      <c r="F118" s="113"/>
      <c r="G118" s="113"/>
      <c r="H118" s="113"/>
      <c r="I118" s="64" t="s">
        <v>44</v>
      </c>
      <c r="J118" s="39" t="s">
        <v>103</v>
      </c>
    </row>
    <row r="119" spans="1:10" ht="12.75" customHeight="1">
      <c r="A119" s="111" t="s">
        <v>104</v>
      </c>
      <c r="B119" s="111"/>
      <c r="C119" s="111"/>
      <c r="D119" s="111"/>
      <c r="E119" s="111"/>
      <c r="F119" s="111"/>
      <c r="G119" s="111"/>
      <c r="H119" s="111"/>
      <c r="I119" s="40" t="s">
        <v>64</v>
      </c>
      <c r="J119" s="41">
        <f>SUM(J30+J71+J81+J107+J115)</f>
        <v>3390.4817411616164</v>
      </c>
    </row>
    <row r="120" spans="1:10" ht="15.5">
      <c r="A120" s="42" t="s">
        <v>5</v>
      </c>
      <c r="B120" s="110" t="s">
        <v>105</v>
      </c>
      <c r="C120" s="110"/>
      <c r="D120" s="110"/>
      <c r="E120" s="110"/>
      <c r="F120" s="110"/>
      <c r="G120" s="110"/>
      <c r="H120" s="110"/>
      <c r="I120" s="15">
        <v>0.1091</v>
      </c>
      <c r="J120" s="16">
        <f>ROUND(I120*J119,2)</f>
        <v>369.9</v>
      </c>
    </row>
    <row r="121" spans="1:10" ht="12.75" customHeight="1">
      <c r="A121" s="111" t="s">
        <v>106</v>
      </c>
      <c r="B121" s="111"/>
      <c r="C121" s="111"/>
      <c r="D121" s="111"/>
      <c r="E121" s="111"/>
      <c r="F121" s="111"/>
      <c r="G121" s="111"/>
      <c r="H121" s="111"/>
      <c r="I121" s="43" t="s">
        <v>64</v>
      </c>
      <c r="J121" s="41">
        <f>SUM(J30+J71+J81+J107+J115+J120)</f>
        <v>3760.3817411616164</v>
      </c>
    </row>
    <row r="122" spans="1:10" ht="15.5">
      <c r="A122" s="42" t="s">
        <v>7</v>
      </c>
      <c r="B122" s="110" t="s">
        <v>107</v>
      </c>
      <c r="C122" s="110"/>
      <c r="D122" s="110"/>
      <c r="E122" s="110"/>
      <c r="F122" s="110"/>
      <c r="G122" s="110"/>
      <c r="H122" s="110"/>
      <c r="I122" s="20">
        <v>0.15109700000000001</v>
      </c>
      <c r="J122" s="16">
        <f>ROUND(I122*J121,2)</f>
        <v>568.17999999999995</v>
      </c>
    </row>
    <row r="123" spans="1:10" ht="12.75" customHeight="1">
      <c r="A123" s="111" t="s">
        <v>108</v>
      </c>
      <c r="B123" s="111"/>
      <c r="C123" s="111"/>
      <c r="D123" s="111"/>
      <c r="E123" s="111"/>
      <c r="F123" s="111"/>
      <c r="G123" s="111"/>
      <c r="H123" s="111"/>
      <c r="I123" s="43" t="s">
        <v>64</v>
      </c>
      <c r="J123" s="41">
        <f>SUM(J30+J71+J81+J107+J115+J120+J122)</f>
        <v>4328.5617411616167</v>
      </c>
    </row>
    <row r="124" spans="1:10" ht="15.5">
      <c r="A124" s="42" t="s">
        <v>9</v>
      </c>
      <c r="B124" s="110" t="s">
        <v>109</v>
      </c>
      <c r="C124" s="110"/>
      <c r="D124" s="110"/>
      <c r="E124" s="110"/>
      <c r="F124" s="110"/>
      <c r="G124" s="110"/>
      <c r="H124" s="110"/>
      <c r="I124" s="9" t="s">
        <v>64</v>
      </c>
      <c r="J124" s="51" t="s">
        <v>64</v>
      </c>
    </row>
    <row r="125" spans="1:10" ht="13">
      <c r="A125" s="8"/>
      <c r="B125" s="104" t="s">
        <v>110</v>
      </c>
      <c r="C125" s="104"/>
      <c r="D125" s="104"/>
      <c r="E125" s="104"/>
      <c r="F125" s="104"/>
      <c r="G125" s="104"/>
      <c r="H125" s="104"/>
      <c r="I125" s="9" t="s">
        <v>64</v>
      </c>
      <c r="J125" s="51" t="s">
        <v>64</v>
      </c>
    </row>
    <row r="126" spans="1:10" ht="13">
      <c r="A126" s="8"/>
      <c r="B126" s="104" t="s">
        <v>111</v>
      </c>
      <c r="C126" s="104"/>
      <c r="D126" s="104"/>
      <c r="E126" s="104"/>
      <c r="F126" s="104"/>
      <c r="G126" s="104"/>
      <c r="H126" s="104"/>
      <c r="I126" s="44">
        <v>0.03</v>
      </c>
      <c r="J126" s="16">
        <f>ROUND(($J$123/(1-$I$135))*I126,2)</f>
        <v>142.15</v>
      </c>
    </row>
    <row r="127" spans="1:10" ht="13">
      <c r="A127" s="8"/>
      <c r="B127" s="104" t="s">
        <v>112</v>
      </c>
      <c r="C127" s="104"/>
      <c r="D127" s="104"/>
      <c r="E127" s="104"/>
      <c r="F127" s="104"/>
      <c r="G127" s="104"/>
      <c r="H127" s="104"/>
      <c r="I127" s="44">
        <v>6.4999999999999997E-3</v>
      </c>
      <c r="J127" s="16">
        <f>ROUND(($J$123/(1-$I$135))*I127,2)</f>
        <v>30.8</v>
      </c>
    </row>
    <row r="128" spans="1:10" ht="27.65" customHeight="1">
      <c r="A128" s="8"/>
      <c r="B128" s="109" t="s">
        <v>113</v>
      </c>
      <c r="C128" s="109"/>
      <c r="D128" s="109"/>
      <c r="E128" s="109"/>
      <c r="F128" s="109"/>
      <c r="G128" s="109"/>
      <c r="H128" s="109"/>
      <c r="I128" s="45" t="s">
        <v>64</v>
      </c>
      <c r="J128" s="51" t="s">
        <v>64</v>
      </c>
    </row>
    <row r="129" spans="1:10" ht="27.65" customHeight="1">
      <c r="A129" s="8"/>
      <c r="B129" s="109" t="s">
        <v>114</v>
      </c>
      <c r="C129" s="109"/>
      <c r="D129" s="109"/>
      <c r="E129" s="109"/>
      <c r="F129" s="109"/>
      <c r="G129" s="109"/>
      <c r="H129" s="109"/>
      <c r="I129" s="45" t="s">
        <v>64</v>
      </c>
      <c r="J129" s="51" t="s">
        <v>64</v>
      </c>
    </row>
    <row r="130" spans="1:10" ht="13">
      <c r="A130" s="8"/>
      <c r="B130" s="104" t="s">
        <v>115</v>
      </c>
      <c r="C130" s="104"/>
      <c r="D130" s="104"/>
      <c r="E130" s="104"/>
      <c r="F130" s="104"/>
      <c r="G130" s="104"/>
      <c r="H130" s="104"/>
      <c r="I130" s="45" t="s">
        <v>64</v>
      </c>
      <c r="J130" s="51" t="s">
        <v>64</v>
      </c>
    </row>
    <row r="131" spans="1:10" ht="13">
      <c r="A131" s="8"/>
      <c r="B131" s="104" t="s">
        <v>116</v>
      </c>
      <c r="C131" s="104"/>
      <c r="D131" s="104"/>
      <c r="E131" s="104"/>
      <c r="F131" s="104"/>
      <c r="G131" s="104"/>
      <c r="H131" s="104"/>
      <c r="I131" s="45" t="s">
        <v>64</v>
      </c>
      <c r="J131" s="51" t="s">
        <v>64</v>
      </c>
    </row>
    <row r="132" spans="1:10" ht="13">
      <c r="A132" s="8"/>
      <c r="B132" s="104" t="s">
        <v>134</v>
      </c>
      <c r="C132" s="104"/>
      <c r="D132" s="104"/>
      <c r="E132" s="104"/>
      <c r="F132" s="104"/>
      <c r="G132" s="104"/>
      <c r="H132" s="104"/>
      <c r="I132" s="44">
        <v>0.05</v>
      </c>
      <c r="J132" s="16">
        <f>ROUND(($J$123/(1-$I$135))*I132,2)</f>
        <v>236.92</v>
      </c>
    </row>
    <row r="133" spans="1:10" ht="13">
      <c r="A133" s="105" t="s">
        <v>40</v>
      </c>
      <c r="B133" s="105"/>
      <c r="C133" s="105"/>
      <c r="D133" s="105"/>
      <c r="E133" s="105"/>
      <c r="F133" s="105"/>
      <c r="G133" s="105"/>
      <c r="H133" s="105"/>
      <c r="I133" s="105"/>
      <c r="J133" s="14">
        <f>SUM(J120+J122+J126+J127+J132)</f>
        <v>1347.95</v>
      </c>
    </row>
    <row r="134" spans="1:10" ht="13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</row>
    <row r="135" spans="1:10" ht="14.65" customHeight="1">
      <c r="A135" s="106" t="s">
        <v>117</v>
      </c>
      <c r="B135" s="106"/>
      <c r="C135" s="106"/>
      <c r="D135" s="106"/>
      <c r="E135" s="106"/>
      <c r="F135" s="106"/>
      <c r="G135" s="106"/>
      <c r="H135" s="106"/>
      <c r="I135" s="46">
        <f>SUM(I126:I132)</f>
        <v>8.6499999999999994E-2</v>
      </c>
      <c r="J135" s="41">
        <f>SUM(J126:J132)</f>
        <v>409.87</v>
      </c>
    </row>
    <row r="136" spans="1:10">
      <c r="A136" s="107" t="s">
        <v>118</v>
      </c>
      <c r="B136" s="107"/>
      <c r="C136" s="107"/>
      <c r="D136" s="108" t="s">
        <v>119</v>
      </c>
      <c r="E136" s="108"/>
      <c r="F136" s="108"/>
      <c r="G136" s="108"/>
      <c r="H136" s="108"/>
      <c r="I136" s="108"/>
      <c r="J136" s="108"/>
    </row>
    <row r="137" spans="1:10">
      <c r="A137" s="107"/>
      <c r="B137" s="107"/>
      <c r="C137" s="107"/>
      <c r="D137" s="108" t="s">
        <v>120</v>
      </c>
      <c r="E137" s="108"/>
      <c r="F137" s="108"/>
      <c r="G137" s="108"/>
      <c r="H137" s="108"/>
      <c r="I137" s="108"/>
      <c r="J137" s="108"/>
    </row>
    <row r="138" spans="1:10">
      <c r="A138" s="107"/>
      <c r="B138" s="107"/>
      <c r="C138" s="107"/>
      <c r="D138" s="108" t="s">
        <v>121</v>
      </c>
      <c r="E138" s="108"/>
      <c r="F138" s="108"/>
      <c r="G138" s="108"/>
      <c r="H138" s="108"/>
      <c r="I138" s="108"/>
      <c r="J138" s="108"/>
    </row>
    <row r="139" spans="1:10" ht="13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</row>
    <row r="140" spans="1:10" ht="46" customHeight="1">
      <c r="A140" s="102" t="s">
        <v>122</v>
      </c>
      <c r="B140" s="102"/>
      <c r="C140" s="102"/>
      <c r="D140" s="102"/>
      <c r="E140" s="102"/>
      <c r="F140" s="102"/>
      <c r="G140" s="102"/>
      <c r="H140" s="102"/>
      <c r="I140" s="102"/>
      <c r="J140" s="102"/>
    </row>
    <row r="141" spans="1:10" ht="14.65" customHeight="1">
      <c r="A141" s="103" t="s">
        <v>123</v>
      </c>
      <c r="B141" s="103"/>
      <c r="C141" s="103"/>
      <c r="D141" s="103"/>
      <c r="E141" s="103"/>
      <c r="F141" s="103"/>
      <c r="G141" s="103"/>
      <c r="H141" s="103"/>
      <c r="I141" s="103"/>
      <c r="J141" s="47" t="s">
        <v>37</v>
      </c>
    </row>
    <row r="142" spans="1:10" ht="14.65" customHeight="1">
      <c r="A142" s="48" t="s">
        <v>5</v>
      </c>
      <c r="B142" s="99" t="s">
        <v>124</v>
      </c>
      <c r="C142" s="99"/>
      <c r="D142" s="99"/>
      <c r="E142" s="99"/>
      <c r="F142" s="99"/>
      <c r="G142" s="99"/>
      <c r="H142" s="99"/>
      <c r="I142" s="99"/>
      <c r="J142" s="27">
        <f>J30</f>
        <v>1578.31</v>
      </c>
    </row>
    <row r="143" spans="1:10" ht="14.65" customHeight="1">
      <c r="A143" s="48" t="s">
        <v>7</v>
      </c>
      <c r="B143" s="99" t="s">
        <v>33</v>
      </c>
      <c r="C143" s="99"/>
      <c r="D143" s="99"/>
      <c r="E143" s="99"/>
      <c r="F143" s="99"/>
      <c r="G143" s="99"/>
      <c r="H143" s="99"/>
      <c r="I143" s="99"/>
      <c r="J143" s="27">
        <f>J71</f>
        <v>1355.3600000000001</v>
      </c>
    </row>
    <row r="144" spans="1:10" ht="14.65" customHeight="1">
      <c r="A144" s="48" t="s">
        <v>9</v>
      </c>
      <c r="B144" s="99" t="s">
        <v>125</v>
      </c>
      <c r="C144" s="99"/>
      <c r="D144" s="99"/>
      <c r="E144" s="99"/>
      <c r="F144" s="99"/>
      <c r="G144" s="99"/>
      <c r="H144" s="99"/>
      <c r="I144" s="99"/>
      <c r="J144" s="27">
        <f>J81</f>
        <v>66.894468055555564</v>
      </c>
    </row>
    <row r="145" spans="1:12" ht="14.65" customHeight="1">
      <c r="A145" s="48" t="s">
        <v>12</v>
      </c>
      <c r="B145" s="99" t="s">
        <v>126</v>
      </c>
      <c r="C145" s="99"/>
      <c r="D145" s="99"/>
      <c r="E145" s="99"/>
      <c r="F145" s="99"/>
      <c r="G145" s="99"/>
      <c r="H145" s="99"/>
      <c r="I145" s="99"/>
      <c r="J145" s="27">
        <f>J107</f>
        <v>146.01537916666666</v>
      </c>
    </row>
    <row r="146" spans="1:12" ht="14.65" customHeight="1">
      <c r="A146" s="48" t="s">
        <v>29</v>
      </c>
      <c r="B146" s="99" t="s">
        <v>127</v>
      </c>
      <c r="C146" s="99"/>
      <c r="D146" s="99"/>
      <c r="E146" s="99"/>
      <c r="F146" s="99"/>
      <c r="G146" s="99"/>
      <c r="H146" s="99"/>
      <c r="I146" s="99"/>
      <c r="J146" s="27">
        <f>J115</f>
        <v>243.90189393939394</v>
      </c>
    </row>
    <row r="147" spans="1:12" ht="14.65" customHeight="1">
      <c r="A147" s="100" t="s">
        <v>128</v>
      </c>
      <c r="B147" s="100"/>
      <c r="C147" s="100"/>
      <c r="D147" s="100"/>
      <c r="E147" s="100"/>
      <c r="F147" s="100"/>
      <c r="G147" s="100"/>
      <c r="H147" s="100"/>
      <c r="I147" s="100"/>
      <c r="J147" s="38">
        <f>SUM(J142:J146)</f>
        <v>3390.4817411616164</v>
      </c>
    </row>
    <row r="148" spans="1:12" ht="14.65" customHeight="1">
      <c r="A148" s="48" t="s">
        <v>53</v>
      </c>
      <c r="B148" s="99" t="s">
        <v>129</v>
      </c>
      <c r="C148" s="99"/>
      <c r="D148" s="99"/>
      <c r="E148" s="99"/>
      <c r="F148" s="99"/>
      <c r="G148" s="99"/>
      <c r="H148" s="99"/>
      <c r="I148" s="99"/>
      <c r="J148" s="27">
        <f>J133</f>
        <v>1347.95</v>
      </c>
    </row>
    <row r="149" spans="1:12" ht="14.65" customHeight="1">
      <c r="A149" s="100" t="s">
        <v>130</v>
      </c>
      <c r="B149" s="100"/>
      <c r="C149" s="100"/>
      <c r="D149" s="100"/>
      <c r="E149" s="100"/>
      <c r="F149" s="100"/>
      <c r="G149" s="100"/>
      <c r="H149" s="100"/>
      <c r="I149" s="100"/>
      <c r="J149" s="38">
        <f>SUM(J147:J148)</f>
        <v>4738.4317411616166</v>
      </c>
    </row>
    <row r="150" spans="1:12" ht="27.5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A1:J1"/>
    <mergeCell ref="A2:J2"/>
    <mergeCell ref="A3:G3"/>
    <mergeCell ref="H3:J3"/>
    <mergeCell ref="A4:G4"/>
    <mergeCell ref="H4:J4"/>
    <mergeCell ref="B62:H62"/>
    <mergeCell ref="B61:H61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60:H60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E284E-EA41-402C-AEBA-8667EE4C0236}">
  <sheetPr>
    <tabColor rgb="FF0070C0"/>
  </sheetPr>
  <dimension ref="A1:Q172"/>
  <sheetViews>
    <sheetView showGridLines="0" view="pageBreakPreview" topLeftCell="A37" zoomScaleNormal="100" zoomScaleSheetLayoutView="100" zoomScalePageLayoutView="95" workbookViewId="0">
      <selection activeCell="J64" sqref="J64"/>
    </sheetView>
  </sheetViews>
  <sheetFormatPr defaultRowHeight="12.5"/>
  <cols>
    <col min="1" max="9" width="8.7265625" customWidth="1"/>
    <col min="10" max="10" width="15.453125" customWidth="1"/>
    <col min="11" max="11" width="17.453125" customWidth="1"/>
    <col min="12" max="12" width="17" customWidth="1"/>
    <col min="13" max="16" width="8.7265625" customWidth="1"/>
    <col min="17" max="17" width="10.81640625" customWidth="1"/>
    <col min="18" max="1025" width="8.7265625" customWidth="1"/>
  </cols>
  <sheetData>
    <row r="1" spans="1:12" ht="24.25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2" ht="46.5" customHeight="1">
      <c r="A2" s="136" t="s">
        <v>297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2" ht="14.65" customHeight="1">
      <c r="A3" s="109" t="s">
        <v>1</v>
      </c>
      <c r="B3" s="109"/>
      <c r="C3" s="109"/>
      <c r="D3" s="109"/>
      <c r="E3" s="109"/>
      <c r="F3" s="109"/>
      <c r="G3" s="109"/>
      <c r="H3" s="138" t="s">
        <v>145</v>
      </c>
      <c r="I3" s="139"/>
      <c r="J3" s="139"/>
    </row>
    <row r="4" spans="1:12" ht="14.65" customHeight="1">
      <c r="A4" s="109" t="s">
        <v>2</v>
      </c>
      <c r="B4" s="109"/>
      <c r="C4" s="109"/>
      <c r="D4" s="109"/>
      <c r="E4" s="109"/>
      <c r="F4" s="109"/>
      <c r="G4" s="109"/>
      <c r="H4" s="140" t="s">
        <v>144</v>
      </c>
      <c r="I4" s="139"/>
      <c r="J4" s="139"/>
    </row>
    <row r="5" spans="1:12" ht="14.65" customHeight="1">
      <c r="A5" s="109" t="s">
        <v>3</v>
      </c>
      <c r="B5" s="109"/>
      <c r="C5" s="109"/>
      <c r="D5" s="109"/>
      <c r="E5" s="109"/>
      <c r="F5" s="109"/>
      <c r="G5" s="109"/>
      <c r="H5" s="109"/>
      <c r="I5" s="109"/>
      <c r="J5" s="109"/>
    </row>
    <row r="6" spans="1:12" ht="16.149999999999999" customHeight="1">
      <c r="A6" s="142" t="s">
        <v>4</v>
      </c>
      <c r="B6" s="142"/>
      <c r="C6" s="142"/>
      <c r="D6" s="142"/>
      <c r="E6" s="142"/>
      <c r="F6" s="142"/>
      <c r="G6" s="142"/>
      <c r="H6" s="142"/>
      <c r="I6" s="142"/>
      <c r="J6" s="142"/>
    </row>
    <row r="7" spans="1:12" ht="14.65" customHeight="1">
      <c r="A7" s="1" t="s">
        <v>5</v>
      </c>
      <c r="B7" s="109" t="s">
        <v>6</v>
      </c>
      <c r="C7" s="109"/>
      <c r="D7" s="109"/>
      <c r="E7" s="109"/>
      <c r="F7" s="109"/>
      <c r="G7" s="109"/>
      <c r="H7" s="141">
        <v>44029</v>
      </c>
      <c r="I7" s="141"/>
      <c r="J7" s="141"/>
    </row>
    <row r="8" spans="1:12" ht="14.65" customHeight="1">
      <c r="A8" s="1" t="s">
        <v>7</v>
      </c>
      <c r="B8" s="109" t="s">
        <v>8</v>
      </c>
      <c r="C8" s="109"/>
      <c r="D8" s="109"/>
      <c r="E8" s="109"/>
      <c r="F8" s="109"/>
      <c r="G8" s="109"/>
      <c r="H8" s="141" t="s">
        <v>140</v>
      </c>
      <c r="I8" s="141"/>
      <c r="J8" s="141"/>
    </row>
    <row r="9" spans="1:12" ht="39" customHeight="1">
      <c r="A9" s="1" t="s">
        <v>9</v>
      </c>
      <c r="B9" s="109" t="s">
        <v>10</v>
      </c>
      <c r="C9" s="109"/>
      <c r="D9" s="109"/>
      <c r="E9" s="109"/>
      <c r="F9" s="109"/>
      <c r="G9" s="109"/>
      <c r="H9" s="141" t="s">
        <v>11</v>
      </c>
      <c r="I9" s="141"/>
      <c r="J9" s="141"/>
      <c r="L9" s="55"/>
    </row>
    <row r="10" spans="1:12" ht="14.65" customHeight="1">
      <c r="A10" s="1" t="s">
        <v>12</v>
      </c>
      <c r="B10" s="109" t="s">
        <v>13</v>
      </c>
      <c r="C10" s="109"/>
      <c r="D10" s="109"/>
      <c r="E10" s="109"/>
      <c r="F10" s="109"/>
      <c r="G10" s="109"/>
      <c r="H10" s="139">
        <v>12</v>
      </c>
      <c r="I10" s="139"/>
      <c r="J10" s="139"/>
    </row>
    <row r="11" spans="1:12" ht="13">
      <c r="A11" s="101"/>
      <c r="B11" s="101"/>
      <c r="C11" s="101"/>
      <c r="D11" s="101"/>
      <c r="E11" s="101"/>
      <c r="F11" s="101"/>
      <c r="G11" s="101"/>
      <c r="H11" s="101"/>
      <c r="I11" s="101"/>
      <c r="J11" s="101"/>
    </row>
    <row r="12" spans="1:12" ht="48.75" customHeight="1">
      <c r="A12" s="132" t="s">
        <v>14</v>
      </c>
      <c r="B12" s="132"/>
      <c r="C12" s="132"/>
      <c r="D12" s="132"/>
      <c r="E12" s="132"/>
      <c r="F12" s="132"/>
      <c r="G12" s="132"/>
      <c r="H12" s="132"/>
      <c r="I12" s="132"/>
      <c r="J12" s="132"/>
      <c r="L12" s="55"/>
    </row>
    <row r="13" spans="1:12" ht="13">
      <c r="A13" s="101"/>
      <c r="B13" s="101"/>
      <c r="C13" s="101"/>
      <c r="D13" s="101"/>
      <c r="E13" s="101"/>
      <c r="F13" s="101"/>
      <c r="G13" s="101"/>
      <c r="H13" s="101"/>
      <c r="I13" s="101"/>
      <c r="J13" s="101"/>
    </row>
    <row r="14" spans="1:12" ht="16.149999999999999" customHeight="1">
      <c r="A14" s="115" t="s">
        <v>15</v>
      </c>
      <c r="B14" s="115"/>
      <c r="C14" s="115"/>
      <c r="D14" s="115"/>
      <c r="E14" s="115"/>
      <c r="F14" s="115"/>
      <c r="G14" s="115"/>
      <c r="H14" s="115"/>
      <c r="I14" s="115"/>
      <c r="J14" s="115"/>
      <c r="L14" s="55"/>
    </row>
    <row r="15" spans="1:12" ht="16.149999999999999" customHeight="1">
      <c r="A15" s="1">
        <v>1</v>
      </c>
      <c r="B15" s="109" t="s">
        <v>16</v>
      </c>
      <c r="C15" s="109"/>
      <c r="D15" s="109"/>
      <c r="E15" s="109"/>
      <c r="F15" s="109"/>
      <c r="G15" s="109"/>
      <c r="H15" s="134" t="s">
        <v>17</v>
      </c>
      <c r="I15" s="134"/>
      <c r="J15" s="134"/>
    </row>
    <row r="16" spans="1:12" ht="16.149999999999999" customHeight="1">
      <c r="A16" s="1">
        <v>2</v>
      </c>
      <c r="B16" s="109" t="s">
        <v>18</v>
      </c>
      <c r="C16" s="109"/>
      <c r="D16" s="109"/>
      <c r="E16" s="109"/>
      <c r="F16" s="109"/>
      <c r="G16" s="109"/>
      <c r="H16" s="134">
        <v>9511</v>
      </c>
      <c r="I16" s="134"/>
      <c r="J16" s="134"/>
    </row>
    <row r="17" spans="1:17" ht="16.149999999999999" customHeight="1">
      <c r="A17" s="1">
        <v>3</v>
      </c>
      <c r="B17" s="109" t="s">
        <v>19</v>
      </c>
      <c r="C17" s="109"/>
      <c r="D17" s="109"/>
      <c r="E17" s="109"/>
      <c r="F17" s="109"/>
      <c r="G17" s="109"/>
      <c r="H17" s="143">
        <f>1212*6</f>
        <v>7272</v>
      </c>
      <c r="I17" s="143"/>
      <c r="J17" s="143"/>
    </row>
    <row r="18" spans="1:17" ht="16.149999999999999" customHeight="1">
      <c r="A18" s="1">
        <v>4</v>
      </c>
      <c r="B18" s="109" t="s">
        <v>20</v>
      </c>
      <c r="C18" s="109"/>
      <c r="D18" s="109"/>
      <c r="E18" s="109"/>
      <c r="F18" s="109"/>
      <c r="G18" s="109"/>
      <c r="H18" s="134" t="s">
        <v>170</v>
      </c>
      <c r="I18" s="134"/>
      <c r="J18" s="134"/>
    </row>
    <row r="19" spans="1:17" ht="16.149999999999999" customHeight="1">
      <c r="A19" s="1">
        <v>5</v>
      </c>
      <c r="B19" s="109" t="s">
        <v>21</v>
      </c>
      <c r="C19" s="109"/>
      <c r="D19" s="109"/>
      <c r="E19" s="109"/>
      <c r="F19" s="109"/>
      <c r="G19" s="109"/>
      <c r="H19" s="133" t="s">
        <v>141</v>
      </c>
      <c r="I19" s="133"/>
      <c r="J19" s="133"/>
    </row>
    <row r="20" spans="1:17" ht="16.149999999999999" customHeight="1">
      <c r="A20" s="1">
        <v>5</v>
      </c>
      <c r="B20" s="109" t="s">
        <v>133</v>
      </c>
      <c r="C20" s="109"/>
      <c r="D20" s="109"/>
      <c r="E20" s="109"/>
      <c r="F20" s="109"/>
      <c r="G20" s="109"/>
      <c r="H20" s="131">
        <v>16</v>
      </c>
      <c r="I20" s="131"/>
      <c r="J20" s="131"/>
    </row>
    <row r="21" spans="1:17" ht="13">
      <c r="A21" s="101"/>
      <c r="B21" s="101"/>
      <c r="C21" s="101"/>
      <c r="D21" s="101"/>
      <c r="E21" s="101"/>
      <c r="F21" s="101"/>
      <c r="G21" s="101"/>
      <c r="H21" s="101"/>
      <c r="I21" s="101"/>
      <c r="J21" s="101"/>
    </row>
    <row r="22" spans="1:17" ht="20.65" customHeight="1">
      <c r="A22" s="132" t="s">
        <v>22</v>
      </c>
      <c r="B22" s="132"/>
      <c r="C22" s="132"/>
      <c r="D22" s="132"/>
      <c r="E22" s="132"/>
      <c r="F22" s="132"/>
      <c r="G22" s="132"/>
      <c r="H22" s="132"/>
      <c r="I22" s="132"/>
      <c r="J22" s="132"/>
    </row>
    <row r="23" spans="1:17" ht="30.4" customHeight="1">
      <c r="A23" s="64">
        <v>1</v>
      </c>
      <c r="B23" s="115" t="s">
        <v>23</v>
      </c>
      <c r="C23" s="115"/>
      <c r="D23" s="115"/>
      <c r="E23" s="115"/>
      <c r="F23" s="115"/>
      <c r="G23" s="115"/>
      <c r="H23" s="115" t="s">
        <v>24</v>
      </c>
      <c r="I23" s="115"/>
      <c r="J23" s="64" t="s">
        <v>25</v>
      </c>
    </row>
    <row r="24" spans="1:17" ht="12.75" customHeight="1">
      <c r="A24" s="1" t="s">
        <v>5</v>
      </c>
      <c r="B24" s="109" t="s">
        <v>143</v>
      </c>
      <c r="C24" s="109"/>
      <c r="D24" s="109"/>
      <c r="E24" s="109"/>
      <c r="F24" s="109"/>
      <c r="G24" s="109"/>
      <c r="H24" s="109"/>
      <c r="I24" s="109"/>
      <c r="J24" s="2">
        <f>ROUND(H17/36*H20,2)</f>
        <v>3232</v>
      </c>
    </row>
    <row r="25" spans="1:17" ht="12.75" customHeight="1">
      <c r="A25" s="66" t="s">
        <v>7</v>
      </c>
      <c r="B25" s="109" t="s">
        <v>26</v>
      </c>
      <c r="C25" s="109"/>
      <c r="D25" s="109"/>
      <c r="E25" s="109"/>
      <c r="F25" s="109"/>
      <c r="G25" s="109"/>
      <c r="H25" s="109"/>
      <c r="I25" s="3"/>
      <c r="J25" s="2"/>
      <c r="K25" s="57"/>
    </row>
    <row r="26" spans="1:17" ht="12.75" customHeight="1">
      <c r="A26" s="66" t="s">
        <v>9</v>
      </c>
      <c r="B26" s="109" t="s">
        <v>27</v>
      </c>
      <c r="C26" s="109"/>
      <c r="D26" s="109"/>
      <c r="E26" s="109"/>
      <c r="F26" s="109"/>
      <c r="G26" s="109"/>
      <c r="H26" s="109"/>
      <c r="I26" s="109"/>
      <c r="J26" s="2"/>
    </row>
    <row r="27" spans="1:17" ht="12.75" customHeight="1">
      <c r="A27" s="66" t="s">
        <v>12</v>
      </c>
      <c r="B27" s="109" t="s">
        <v>28</v>
      </c>
      <c r="C27" s="109"/>
      <c r="D27" s="109"/>
      <c r="E27" s="109"/>
      <c r="F27" s="109"/>
      <c r="G27" s="109"/>
      <c r="H27" s="109"/>
      <c r="I27" s="109"/>
      <c r="J27" s="2"/>
    </row>
    <row r="28" spans="1:17" ht="12.75" customHeight="1">
      <c r="A28" s="66" t="s">
        <v>29</v>
      </c>
      <c r="B28" s="109" t="s">
        <v>30</v>
      </c>
      <c r="C28" s="109"/>
      <c r="D28" s="109"/>
      <c r="E28" s="109"/>
      <c r="F28" s="109"/>
      <c r="G28" s="109"/>
      <c r="H28" s="109"/>
      <c r="I28" s="109"/>
      <c r="J28" s="2"/>
      <c r="Q28" s="54"/>
    </row>
    <row r="29" spans="1:17" ht="12.75" customHeight="1">
      <c r="A29" s="1" t="s">
        <v>7</v>
      </c>
      <c r="B29" s="109" t="s">
        <v>31</v>
      </c>
      <c r="C29" s="109"/>
      <c r="D29" s="109"/>
      <c r="E29" s="109"/>
      <c r="F29" s="109"/>
      <c r="G29" s="109"/>
      <c r="H29" s="109"/>
      <c r="I29" s="4"/>
      <c r="J29" s="2">
        <f>I29*J24</f>
        <v>0</v>
      </c>
      <c r="Q29" s="54"/>
    </row>
    <row r="30" spans="1:17" ht="15.75" customHeight="1">
      <c r="A30" s="116" t="s">
        <v>32</v>
      </c>
      <c r="B30" s="116"/>
      <c r="C30" s="116"/>
      <c r="D30" s="116"/>
      <c r="E30" s="116"/>
      <c r="F30" s="116"/>
      <c r="G30" s="116"/>
      <c r="H30" s="116"/>
      <c r="I30" s="116"/>
      <c r="J30" s="5">
        <f>SUM(J24:J29)</f>
        <v>3232</v>
      </c>
    </row>
    <row r="31" spans="1:17" ht="13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Q31" s="54"/>
    </row>
    <row r="32" spans="1:17" ht="16.149999999999999" customHeight="1">
      <c r="A32" s="112" t="s">
        <v>33</v>
      </c>
      <c r="B32" s="112"/>
      <c r="C32" s="112"/>
      <c r="D32" s="112"/>
      <c r="E32" s="112"/>
      <c r="F32" s="112"/>
      <c r="G32" s="112"/>
      <c r="H32" s="112"/>
      <c r="I32" s="112"/>
      <c r="J32" s="112"/>
    </row>
    <row r="33" spans="1:13" ht="14">
      <c r="A33" s="129" t="s">
        <v>34</v>
      </c>
      <c r="B33" s="129"/>
      <c r="C33" s="129"/>
      <c r="D33" s="129"/>
      <c r="E33" s="129"/>
      <c r="F33" s="129"/>
      <c r="G33" s="129"/>
      <c r="H33" s="129"/>
      <c r="I33" s="129"/>
      <c r="J33" s="129"/>
    </row>
    <row r="34" spans="1:13" ht="14">
      <c r="A34" s="6" t="s">
        <v>35</v>
      </c>
      <c r="B34" s="130" t="s">
        <v>36</v>
      </c>
      <c r="C34" s="130"/>
      <c r="D34" s="130"/>
      <c r="E34" s="130"/>
      <c r="F34" s="130"/>
      <c r="G34" s="130"/>
      <c r="H34" s="130"/>
      <c r="I34" s="130"/>
      <c r="J34" s="7" t="s">
        <v>37</v>
      </c>
    </row>
    <row r="35" spans="1:13" ht="27.65" customHeight="1">
      <c r="A35" s="8" t="s">
        <v>5</v>
      </c>
      <c r="B35" s="109" t="s">
        <v>38</v>
      </c>
      <c r="C35" s="109"/>
      <c r="D35" s="109"/>
      <c r="E35" s="109"/>
      <c r="F35" s="109"/>
      <c r="G35" s="109"/>
      <c r="H35" s="109"/>
      <c r="I35" s="9">
        <v>8.3299999999999999E-2</v>
      </c>
      <c r="J35" s="10">
        <f>ROUND($J$30*I35,2)</f>
        <v>269.23</v>
      </c>
      <c r="M35" s="55"/>
    </row>
    <row r="36" spans="1:13" ht="36.25" customHeight="1">
      <c r="A36" s="8" t="s">
        <v>7</v>
      </c>
      <c r="B36" s="120" t="s">
        <v>39</v>
      </c>
      <c r="C36" s="120"/>
      <c r="D36" s="120"/>
      <c r="E36" s="120"/>
      <c r="F36" s="120"/>
      <c r="G36" s="120"/>
      <c r="H36" s="120"/>
      <c r="I36" s="11">
        <v>3.0249999999999999E-2</v>
      </c>
      <c r="J36" s="10">
        <f>ROUND($J$30*I36,2)</f>
        <v>97.77</v>
      </c>
    </row>
    <row r="37" spans="1:13" ht="13">
      <c r="A37" s="128" t="s">
        <v>40</v>
      </c>
      <c r="B37" s="128"/>
      <c r="C37" s="128"/>
      <c r="D37" s="128"/>
      <c r="E37" s="128"/>
      <c r="F37" s="128"/>
      <c r="G37" s="128"/>
      <c r="H37" s="128"/>
      <c r="I37" s="128"/>
      <c r="J37" s="65">
        <f>SUM(J35+J36)</f>
        <v>367</v>
      </c>
    </row>
    <row r="38" spans="1:13" ht="13">
      <c r="A38" s="101"/>
      <c r="B38" s="101"/>
      <c r="C38" s="101"/>
      <c r="D38" s="101"/>
      <c r="E38" s="101"/>
      <c r="F38" s="101"/>
      <c r="G38" s="101"/>
      <c r="H38" s="101"/>
      <c r="I38" s="101"/>
      <c r="J38" s="101"/>
    </row>
    <row r="39" spans="1:13" ht="30.4" customHeight="1">
      <c r="A39" s="112" t="s">
        <v>41</v>
      </c>
      <c r="B39" s="112"/>
      <c r="C39" s="112"/>
      <c r="D39" s="112"/>
      <c r="E39" s="112"/>
      <c r="F39" s="112"/>
      <c r="G39" s="112"/>
      <c r="H39" s="112"/>
      <c r="I39" s="112"/>
      <c r="J39" s="112"/>
    </row>
    <row r="40" spans="1:13" ht="30.4" customHeight="1">
      <c r="A40" s="63" t="s">
        <v>42</v>
      </c>
      <c r="B40" s="113" t="s">
        <v>43</v>
      </c>
      <c r="C40" s="113"/>
      <c r="D40" s="113"/>
      <c r="E40" s="113"/>
      <c r="F40" s="113"/>
      <c r="G40" s="113"/>
      <c r="H40" s="113"/>
      <c r="I40" s="64" t="s">
        <v>44</v>
      </c>
      <c r="J40" s="64" t="s">
        <v>45</v>
      </c>
    </row>
    <row r="41" spans="1:13" ht="13">
      <c r="A41" s="8" t="s">
        <v>5</v>
      </c>
      <c r="B41" s="104" t="s">
        <v>46</v>
      </c>
      <c r="C41" s="104"/>
      <c r="D41" s="104"/>
      <c r="E41" s="104"/>
      <c r="F41" s="104"/>
      <c r="G41" s="104"/>
      <c r="H41" s="104"/>
      <c r="I41" s="15">
        <v>0.2</v>
      </c>
      <c r="J41" s="16">
        <f>ROUND(($J$30+$J$37)*I41,2)</f>
        <v>719.8</v>
      </c>
    </row>
    <row r="42" spans="1:13" ht="13">
      <c r="A42" s="8" t="s">
        <v>7</v>
      </c>
      <c r="B42" s="104" t="s">
        <v>47</v>
      </c>
      <c r="C42" s="104"/>
      <c r="D42" s="104"/>
      <c r="E42" s="104"/>
      <c r="F42" s="104"/>
      <c r="G42" s="104"/>
      <c r="H42" s="104"/>
      <c r="I42" s="15">
        <v>2.5000000000000001E-2</v>
      </c>
      <c r="J42" s="16">
        <f t="shared" ref="J42:J48" si="0">ROUND(($J$30+$J$37)*I42,2)</f>
        <v>89.98</v>
      </c>
    </row>
    <row r="43" spans="1:13" ht="23.9" customHeight="1">
      <c r="A43" s="8" t="s">
        <v>9</v>
      </c>
      <c r="B43" s="109" t="s">
        <v>48</v>
      </c>
      <c r="C43" s="109"/>
      <c r="D43" s="109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35.99</v>
      </c>
    </row>
    <row r="44" spans="1:13" ht="13">
      <c r="A44" s="8" t="s">
        <v>12</v>
      </c>
      <c r="B44" s="104" t="s">
        <v>51</v>
      </c>
      <c r="C44" s="104"/>
      <c r="D44" s="104"/>
      <c r="E44" s="104"/>
      <c r="F44" s="104"/>
      <c r="G44" s="104"/>
      <c r="H44" s="104"/>
      <c r="I44" s="15">
        <v>1.4999999999999999E-2</v>
      </c>
      <c r="J44" s="16">
        <f t="shared" si="0"/>
        <v>53.99</v>
      </c>
    </row>
    <row r="45" spans="1:13" ht="13">
      <c r="A45" s="8" t="s">
        <v>29</v>
      </c>
      <c r="B45" s="104" t="s">
        <v>52</v>
      </c>
      <c r="C45" s="104"/>
      <c r="D45" s="104"/>
      <c r="E45" s="104"/>
      <c r="F45" s="104"/>
      <c r="G45" s="104"/>
      <c r="H45" s="104"/>
      <c r="I45" s="15">
        <v>0.01</v>
      </c>
      <c r="J45" s="16">
        <f t="shared" si="0"/>
        <v>35.99</v>
      </c>
    </row>
    <row r="46" spans="1:13" ht="13">
      <c r="A46" s="8" t="s">
        <v>53</v>
      </c>
      <c r="B46" s="104" t="s">
        <v>54</v>
      </c>
      <c r="C46" s="104"/>
      <c r="D46" s="104"/>
      <c r="E46" s="104"/>
      <c r="F46" s="104"/>
      <c r="G46" s="104"/>
      <c r="H46" s="104"/>
      <c r="I46" s="15">
        <v>6.0000000000000001E-3</v>
      </c>
      <c r="J46" s="16">
        <f t="shared" si="0"/>
        <v>21.59</v>
      </c>
    </row>
    <row r="47" spans="1:13" ht="13">
      <c r="A47" s="8" t="s">
        <v>55</v>
      </c>
      <c r="B47" s="104" t="s">
        <v>56</v>
      </c>
      <c r="C47" s="104"/>
      <c r="D47" s="104"/>
      <c r="E47" s="104"/>
      <c r="F47" s="104"/>
      <c r="G47" s="104"/>
      <c r="H47" s="104"/>
      <c r="I47" s="15">
        <v>2E-3</v>
      </c>
      <c r="J47" s="16">
        <f t="shared" si="0"/>
        <v>7.2</v>
      </c>
    </row>
    <row r="48" spans="1:13" ht="13">
      <c r="A48" s="8" t="s">
        <v>57</v>
      </c>
      <c r="B48" s="104" t="s">
        <v>58</v>
      </c>
      <c r="C48" s="104"/>
      <c r="D48" s="104"/>
      <c r="E48" s="104"/>
      <c r="F48" s="104"/>
      <c r="G48" s="104"/>
      <c r="H48" s="104"/>
      <c r="I48" s="15">
        <v>0.08</v>
      </c>
      <c r="J48" s="16">
        <f t="shared" si="0"/>
        <v>287.92</v>
      </c>
    </row>
    <row r="49" spans="1:12" ht="13">
      <c r="A49" s="105" t="s">
        <v>40</v>
      </c>
      <c r="B49" s="105"/>
      <c r="C49" s="105"/>
      <c r="D49" s="105"/>
      <c r="E49" s="105"/>
      <c r="F49" s="105"/>
      <c r="G49" s="105"/>
      <c r="H49" s="105"/>
      <c r="I49" s="21">
        <f>SUM(I41:I48)</f>
        <v>0.34800000000000003</v>
      </c>
      <c r="J49" s="14">
        <f>SUM(J41:J48)</f>
        <v>1252.46</v>
      </c>
    </row>
    <row r="50" spans="1:12" ht="13">
      <c r="A50" s="101"/>
      <c r="B50" s="101"/>
      <c r="C50" s="101"/>
      <c r="D50" s="101"/>
      <c r="E50" s="101"/>
      <c r="F50" s="101"/>
      <c r="G50" s="101"/>
      <c r="H50" s="101"/>
      <c r="I50" s="101"/>
      <c r="J50" s="101"/>
    </row>
    <row r="51" spans="1:12" ht="16.149999999999999" customHeight="1">
      <c r="A51" s="112" t="s">
        <v>59</v>
      </c>
      <c r="B51" s="112"/>
      <c r="C51" s="112"/>
      <c r="D51" s="112"/>
      <c r="E51" s="112"/>
      <c r="F51" s="112"/>
      <c r="G51" s="112"/>
      <c r="H51" s="112"/>
      <c r="I51" s="112"/>
      <c r="J51" s="112"/>
      <c r="L51" s="53"/>
    </row>
    <row r="52" spans="1:12" ht="16.149999999999999" customHeight="1">
      <c r="A52" s="63" t="s">
        <v>60</v>
      </c>
      <c r="B52" s="113" t="s">
        <v>61</v>
      </c>
      <c r="C52" s="113"/>
      <c r="D52" s="113"/>
      <c r="E52" s="113"/>
      <c r="F52" s="113"/>
      <c r="G52" s="113"/>
      <c r="H52" s="113"/>
      <c r="I52" s="113"/>
      <c r="J52" s="64" t="s">
        <v>37</v>
      </c>
    </row>
    <row r="53" spans="1:12" ht="13">
      <c r="A53" s="8" t="s">
        <v>5</v>
      </c>
      <c r="B53" s="104" t="s">
        <v>62</v>
      </c>
      <c r="C53" s="104"/>
      <c r="D53" s="104"/>
      <c r="E53" s="104"/>
      <c r="F53" s="104"/>
      <c r="G53" s="104"/>
      <c r="H53" s="104"/>
      <c r="I53" s="104"/>
      <c r="J53" s="16">
        <f>IF(ROUND((I56*I54*I55)-(J24*0.06),2)&lt;0,0,ROUND((I56*I54*I55)-(J24*0.06),2))</f>
        <v>55.68</v>
      </c>
    </row>
    <row r="54" spans="1:12" ht="13">
      <c r="A54" s="8"/>
      <c r="B54" s="121" t="s">
        <v>63</v>
      </c>
      <c r="C54" s="121"/>
      <c r="D54" s="121"/>
      <c r="E54" s="121"/>
      <c r="F54" s="121"/>
      <c r="G54" s="121"/>
      <c r="H54" s="121"/>
      <c r="I54" s="22">
        <v>4.8</v>
      </c>
      <c r="J54" s="51" t="s">
        <v>64</v>
      </c>
    </row>
    <row r="55" spans="1:12" ht="13">
      <c r="A55" s="8"/>
      <c r="B55" s="121" t="s">
        <v>65</v>
      </c>
      <c r="C55" s="121"/>
      <c r="D55" s="121"/>
      <c r="E55" s="121"/>
      <c r="F55" s="121"/>
      <c r="G55" s="121"/>
      <c r="H55" s="121"/>
      <c r="I55" s="23">
        <v>2</v>
      </c>
      <c r="J55" s="51"/>
    </row>
    <row r="56" spans="1:12" ht="13">
      <c r="A56" s="8"/>
      <c r="B56" s="121" t="s">
        <v>66</v>
      </c>
      <c r="C56" s="121"/>
      <c r="D56" s="121"/>
      <c r="E56" s="121"/>
      <c r="F56" s="121"/>
      <c r="G56" s="121"/>
      <c r="H56" s="121"/>
      <c r="I56" s="24">
        <v>26</v>
      </c>
      <c r="J56" s="51"/>
    </row>
    <row r="57" spans="1:12" ht="13">
      <c r="A57" s="8" t="s">
        <v>7</v>
      </c>
      <c r="B57" s="104" t="s">
        <v>67</v>
      </c>
      <c r="C57" s="104"/>
      <c r="D57" s="104"/>
      <c r="E57" s="104"/>
      <c r="F57" s="104"/>
      <c r="G57" s="104"/>
      <c r="H57" s="104"/>
      <c r="I57" s="104"/>
      <c r="J57" s="16">
        <f>ROUND((I58*I59)-(I59*I58*I60),2)</f>
        <v>212.5</v>
      </c>
    </row>
    <row r="58" spans="1:12" ht="13">
      <c r="A58" s="8"/>
      <c r="B58" s="121" t="s">
        <v>68</v>
      </c>
      <c r="C58" s="121"/>
      <c r="D58" s="121"/>
      <c r="E58" s="121"/>
      <c r="F58" s="121"/>
      <c r="G58" s="121"/>
      <c r="H58" s="121"/>
      <c r="I58" s="22">
        <v>10.09</v>
      </c>
      <c r="J58" s="51" t="s">
        <v>64</v>
      </c>
    </row>
    <row r="59" spans="1:12" ht="13">
      <c r="A59" s="25"/>
      <c r="B59" s="121" t="s">
        <v>69</v>
      </c>
      <c r="C59" s="121"/>
      <c r="D59" s="121"/>
      <c r="E59" s="121"/>
      <c r="F59" s="121"/>
      <c r="G59" s="121"/>
      <c r="H59" s="121"/>
      <c r="I59" s="26">
        <v>26</v>
      </c>
      <c r="J59" s="51"/>
    </row>
    <row r="60" spans="1:12" ht="13">
      <c r="A60" s="25"/>
      <c r="B60" s="121" t="s">
        <v>132</v>
      </c>
      <c r="C60" s="121"/>
      <c r="D60" s="121"/>
      <c r="E60" s="121"/>
      <c r="F60" s="121"/>
      <c r="G60" s="121"/>
      <c r="H60" s="121"/>
      <c r="I60" s="52">
        <v>0.19</v>
      </c>
      <c r="J60" s="51"/>
    </row>
    <row r="61" spans="1:12" ht="27.65" customHeight="1">
      <c r="A61" s="8" t="s">
        <v>9</v>
      </c>
      <c r="B61" s="122" t="s">
        <v>70</v>
      </c>
      <c r="C61" s="123"/>
      <c r="D61" s="123"/>
      <c r="E61" s="123"/>
      <c r="F61" s="123"/>
      <c r="G61" s="123"/>
      <c r="H61" s="123"/>
      <c r="I61" s="124"/>
      <c r="J61" s="27">
        <v>0</v>
      </c>
    </row>
    <row r="62" spans="1:12" ht="27.65" customHeight="1">
      <c r="A62" s="8" t="s">
        <v>12</v>
      </c>
      <c r="B62" s="122"/>
      <c r="C62" s="123"/>
      <c r="D62" s="123"/>
      <c r="E62" s="123"/>
      <c r="F62" s="123"/>
      <c r="G62" s="123"/>
      <c r="H62" s="123"/>
      <c r="I62" s="124"/>
      <c r="J62" s="27"/>
      <c r="L62" s="50"/>
    </row>
    <row r="63" spans="1:12" ht="27.65" customHeight="1">
      <c r="A63" s="8" t="s">
        <v>12</v>
      </c>
      <c r="B63" s="122" t="s">
        <v>186</v>
      </c>
      <c r="C63" s="123"/>
      <c r="D63" s="123"/>
      <c r="E63" s="123"/>
      <c r="F63" s="123"/>
      <c r="G63" s="123"/>
      <c r="H63" s="123"/>
      <c r="I63" s="124"/>
      <c r="J63" s="27">
        <v>17.32</v>
      </c>
      <c r="L63" s="50"/>
    </row>
    <row r="64" spans="1:12" ht="13">
      <c r="A64" s="125" t="s">
        <v>32</v>
      </c>
      <c r="B64" s="126"/>
      <c r="C64" s="126"/>
      <c r="D64" s="126"/>
      <c r="E64" s="126"/>
      <c r="F64" s="126"/>
      <c r="G64" s="126"/>
      <c r="H64" s="126"/>
      <c r="I64" s="127"/>
      <c r="J64" s="14">
        <f>SUM(J53:J63)</f>
        <v>285.5</v>
      </c>
      <c r="L64" s="50"/>
    </row>
    <row r="65" spans="1:12" ht="13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L65" s="50"/>
    </row>
    <row r="66" spans="1:12" ht="16.149999999999999" customHeight="1">
      <c r="A66" s="112" t="s">
        <v>71</v>
      </c>
      <c r="B66" s="112"/>
      <c r="C66" s="112"/>
      <c r="D66" s="112"/>
      <c r="E66" s="112"/>
      <c r="F66" s="112"/>
      <c r="G66" s="112"/>
      <c r="H66" s="112"/>
      <c r="I66" s="112"/>
      <c r="J66" s="112"/>
      <c r="L66" s="50"/>
    </row>
    <row r="67" spans="1:12" ht="16.149999999999999" customHeight="1">
      <c r="A67" s="64">
        <v>2</v>
      </c>
      <c r="B67" s="115" t="s">
        <v>72</v>
      </c>
      <c r="C67" s="115"/>
      <c r="D67" s="115"/>
      <c r="E67" s="115"/>
      <c r="F67" s="115"/>
      <c r="G67" s="115"/>
      <c r="H67" s="115"/>
      <c r="I67" s="115"/>
      <c r="J67" s="64" t="s">
        <v>37</v>
      </c>
      <c r="L67" s="50"/>
    </row>
    <row r="68" spans="1:12" ht="14.65" customHeight="1">
      <c r="A68" s="1" t="s">
        <v>35</v>
      </c>
      <c r="B68" s="1"/>
      <c r="C68" s="109" t="s">
        <v>73</v>
      </c>
      <c r="D68" s="109"/>
      <c r="E68" s="109"/>
      <c r="F68" s="109"/>
      <c r="G68" s="109"/>
      <c r="H68" s="109"/>
      <c r="I68" s="109"/>
      <c r="J68" s="28">
        <f>J37</f>
        <v>367</v>
      </c>
      <c r="L68" s="50"/>
    </row>
    <row r="69" spans="1:12" ht="14.65" customHeight="1">
      <c r="A69" s="1" t="s">
        <v>42</v>
      </c>
      <c r="B69" s="1"/>
      <c r="C69" s="109" t="s">
        <v>43</v>
      </c>
      <c r="D69" s="109"/>
      <c r="E69" s="109"/>
      <c r="F69" s="109"/>
      <c r="G69" s="109"/>
      <c r="H69" s="109"/>
      <c r="I69" s="109"/>
      <c r="J69" s="28">
        <f>J49</f>
        <v>1252.46</v>
      </c>
      <c r="L69" s="50"/>
    </row>
    <row r="70" spans="1:12" ht="14.65" customHeight="1">
      <c r="A70" s="1" t="s">
        <v>60</v>
      </c>
      <c r="B70" s="1"/>
      <c r="C70" s="109" t="s">
        <v>61</v>
      </c>
      <c r="D70" s="109"/>
      <c r="E70" s="109"/>
      <c r="F70" s="109"/>
      <c r="G70" s="109"/>
      <c r="H70" s="109"/>
      <c r="I70" s="109"/>
      <c r="J70" s="28">
        <f>J64</f>
        <v>285.5</v>
      </c>
      <c r="L70" s="50"/>
    </row>
    <row r="71" spans="1:12" ht="14.65" customHeight="1">
      <c r="A71" s="116" t="s">
        <v>40</v>
      </c>
      <c r="B71" s="116"/>
      <c r="C71" s="116"/>
      <c r="D71" s="116"/>
      <c r="E71" s="116"/>
      <c r="F71" s="116"/>
      <c r="G71" s="116"/>
      <c r="H71" s="116"/>
      <c r="I71" s="116"/>
      <c r="J71" s="29">
        <f>SUM(J68+J69+J70)</f>
        <v>1904.96</v>
      </c>
    </row>
    <row r="72" spans="1:12" ht="13">
      <c r="A72" s="101"/>
      <c r="B72" s="101"/>
      <c r="C72" s="101"/>
      <c r="D72" s="101"/>
      <c r="E72" s="101"/>
      <c r="F72" s="101"/>
      <c r="G72" s="101"/>
      <c r="H72" s="101"/>
      <c r="I72" s="101"/>
      <c r="J72" s="101"/>
    </row>
    <row r="73" spans="1:12" ht="16.149999999999999" customHeight="1">
      <c r="A73" s="112" t="s">
        <v>74</v>
      </c>
      <c r="B73" s="112"/>
      <c r="C73" s="112"/>
      <c r="D73" s="112"/>
      <c r="E73" s="112"/>
      <c r="F73" s="112"/>
      <c r="G73" s="112"/>
      <c r="H73" s="112"/>
      <c r="I73" s="112"/>
      <c r="J73" s="112"/>
    </row>
    <row r="74" spans="1:12" ht="16.149999999999999" customHeight="1">
      <c r="A74" s="63">
        <v>3</v>
      </c>
      <c r="B74" s="115" t="s">
        <v>75</v>
      </c>
      <c r="C74" s="115"/>
      <c r="D74" s="115"/>
      <c r="E74" s="115"/>
      <c r="F74" s="115"/>
      <c r="G74" s="115"/>
      <c r="H74" s="115"/>
      <c r="I74" s="115"/>
      <c r="J74" s="63" t="s">
        <v>76</v>
      </c>
    </row>
    <row r="75" spans="1:12" ht="46.5" customHeight="1">
      <c r="A75" s="8" t="s">
        <v>5</v>
      </c>
      <c r="B75" s="109" t="s">
        <v>135</v>
      </c>
      <c r="C75" s="109"/>
      <c r="D75" s="109"/>
      <c r="E75" s="109"/>
      <c r="F75" s="109"/>
      <c r="G75" s="109"/>
      <c r="H75" s="109"/>
      <c r="I75" s="109"/>
      <c r="J75" s="16">
        <f>ROUND(((J30)+(J35)+(J30/12)+(J36))/12*0.01,2)</f>
        <v>3.22</v>
      </c>
      <c r="L75" s="50"/>
    </row>
    <row r="76" spans="1:12" ht="14.65" customHeight="1">
      <c r="A76" s="8" t="s">
        <v>7</v>
      </c>
      <c r="B76" s="109" t="s">
        <v>77</v>
      </c>
      <c r="C76" s="109"/>
      <c r="D76" s="109"/>
      <c r="E76" s="109"/>
      <c r="F76" s="109"/>
      <c r="G76" s="109"/>
      <c r="H76" s="109"/>
      <c r="I76" s="109"/>
      <c r="J76" s="16">
        <f>ROUND($J$75*I48,2)</f>
        <v>0.26</v>
      </c>
    </row>
    <row r="77" spans="1:12" ht="36.25" customHeight="1">
      <c r="A77" s="8" t="s">
        <v>9</v>
      </c>
      <c r="B77" s="109" t="s">
        <v>136</v>
      </c>
      <c r="C77" s="109"/>
      <c r="D77" s="109"/>
      <c r="E77" s="109"/>
      <c r="F77" s="109"/>
      <c r="G77" s="109"/>
      <c r="H77" s="109"/>
      <c r="I77" s="30">
        <v>2.3999999999999998E-3</v>
      </c>
      <c r="J77" s="16">
        <f>ROUND($J$30*I77,2)</f>
        <v>7.76</v>
      </c>
    </row>
    <row r="78" spans="1:12" ht="34.5" customHeight="1">
      <c r="A78" s="8" t="s">
        <v>12</v>
      </c>
      <c r="B78" s="109" t="s">
        <v>138</v>
      </c>
      <c r="C78" s="109"/>
      <c r="D78" s="109"/>
      <c r="E78" s="109"/>
      <c r="F78" s="109"/>
      <c r="G78" s="109"/>
      <c r="H78" s="109"/>
      <c r="I78" s="109"/>
      <c r="J78" s="16">
        <f>J30/30*7/12*0.05</f>
        <v>3.1422222222222222</v>
      </c>
    </row>
    <row r="79" spans="1:12" ht="14.65" customHeight="1">
      <c r="A79" s="8" t="s">
        <v>29</v>
      </c>
      <c r="B79" s="109" t="s">
        <v>78</v>
      </c>
      <c r="C79" s="109"/>
      <c r="D79" s="109"/>
      <c r="E79" s="109"/>
      <c r="F79" s="109"/>
      <c r="G79" s="109"/>
      <c r="H79" s="109"/>
      <c r="I79" s="109"/>
      <c r="J79" s="16">
        <f>ROUND($I$49*J78,2)</f>
        <v>1.0900000000000001</v>
      </c>
    </row>
    <row r="80" spans="1:12" ht="36.25" customHeight="1">
      <c r="A80" s="8" t="s">
        <v>53</v>
      </c>
      <c r="B80" s="109" t="s">
        <v>137</v>
      </c>
      <c r="C80" s="109"/>
      <c r="D80" s="109"/>
      <c r="E80" s="109"/>
      <c r="F80" s="109"/>
      <c r="G80" s="109"/>
      <c r="H80" s="109"/>
      <c r="I80" s="30">
        <v>3.7600000000000001E-2</v>
      </c>
      <c r="J80" s="16">
        <f>ROUND($J$30*I80,2)</f>
        <v>121.52</v>
      </c>
    </row>
    <row r="81" spans="1:10" ht="13">
      <c r="A81" s="105" t="s">
        <v>40</v>
      </c>
      <c r="B81" s="105"/>
      <c r="C81" s="105"/>
      <c r="D81" s="105"/>
      <c r="E81" s="105"/>
      <c r="F81" s="105"/>
      <c r="G81" s="105"/>
      <c r="H81" s="105"/>
      <c r="I81" s="105"/>
      <c r="J81" s="14">
        <f>SUM(J75:J80)</f>
        <v>136.99222222222221</v>
      </c>
    </row>
    <row r="82" spans="1:10" ht="13">
      <c r="A82" s="101"/>
      <c r="B82" s="101"/>
      <c r="C82" s="101"/>
      <c r="D82" s="101"/>
      <c r="E82" s="101"/>
      <c r="F82" s="101"/>
      <c r="G82" s="101"/>
      <c r="H82" s="101"/>
      <c r="I82" s="101"/>
      <c r="J82" s="101"/>
    </row>
    <row r="83" spans="1:10" ht="16.149999999999999" customHeight="1">
      <c r="A83" s="112" t="s">
        <v>79</v>
      </c>
      <c r="B83" s="112"/>
      <c r="C83" s="112"/>
      <c r="D83" s="112"/>
      <c r="E83" s="112"/>
      <c r="F83" s="112"/>
      <c r="G83" s="112"/>
      <c r="H83" s="112"/>
      <c r="I83" s="112"/>
      <c r="J83" s="112"/>
    </row>
    <row r="84" spans="1:10" ht="15" customHeight="1">
      <c r="A84" s="119" t="s">
        <v>80</v>
      </c>
      <c r="B84" s="119"/>
      <c r="C84" s="119"/>
      <c r="D84" s="119"/>
      <c r="E84" s="119"/>
      <c r="F84" s="119"/>
      <c r="G84" s="119"/>
      <c r="H84" s="119"/>
      <c r="I84" s="119"/>
      <c r="J84" s="31">
        <f>J87+J30+J35+J36</f>
        <v>3892.3</v>
      </c>
    </row>
    <row r="85" spans="1:10" ht="14.65" customHeight="1">
      <c r="A85" s="120"/>
      <c r="B85" s="120"/>
      <c r="C85" s="120"/>
      <c r="D85" s="120"/>
      <c r="E85" s="120"/>
      <c r="F85" s="120"/>
      <c r="G85" s="120"/>
      <c r="H85" s="120"/>
      <c r="I85" s="120"/>
      <c r="J85" s="120"/>
    </row>
    <row r="86" spans="1:10" ht="14">
      <c r="A86" s="32" t="s">
        <v>81</v>
      </c>
      <c r="B86" s="113" t="s">
        <v>82</v>
      </c>
      <c r="C86" s="113"/>
      <c r="D86" s="113"/>
      <c r="E86" s="113"/>
      <c r="F86" s="113"/>
      <c r="G86" s="113"/>
      <c r="H86" s="113"/>
      <c r="I86" s="113"/>
      <c r="J86" s="32" t="s">
        <v>37</v>
      </c>
    </row>
    <row r="87" spans="1:10" ht="12.75" customHeight="1">
      <c r="A87" s="12" t="s">
        <v>5</v>
      </c>
      <c r="B87" s="109" t="s">
        <v>83</v>
      </c>
      <c r="C87" s="109"/>
      <c r="D87" s="109"/>
      <c r="E87" s="109"/>
      <c r="F87" s="109"/>
      <c r="G87" s="109"/>
      <c r="H87" s="109"/>
      <c r="I87" s="33">
        <f>12.1%-I36</f>
        <v>9.0749999999999997E-2</v>
      </c>
      <c r="J87" s="16">
        <f>ROUND(($J$30*I87),2)</f>
        <v>293.3</v>
      </c>
    </row>
    <row r="88" spans="1:10" ht="13">
      <c r="A88" s="12" t="s">
        <v>7</v>
      </c>
      <c r="B88" s="104" t="s">
        <v>131</v>
      </c>
      <c r="C88" s="104"/>
      <c r="D88" s="104"/>
      <c r="E88" s="104"/>
      <c r="F88" s="104"/>
      <c r="G88" s="104"/>
      <c r="H88" s="104"/>
      <c r="I88" s="104"/>
      <c r="J88" s="34">
        <f>J84/30*0.1/12</f>
        <v>1.0811944444444446</v>
      </c>
    </row>
    <row r="89" spans="1:10" ht="13">
      <c r="A89" s="12" t="s">
        <v>9</v>
      </c>
      <c r="B89" s="104" t="s">
        <v>84</v>
      </c>
      <c r="C89" s="104"/>
      <c r="D89" s="104"/>
      <c r="E89" s="104"/>
      <c r="F89" s="104"/>
      <c r="G89" s="104"/>
      <c r="H89" s="104"/>
      <c r="I89" s="104"/>
      <c r="J89" s="34">
        <f>J84/30*5/12*1.5%</f>
        <v>0.81089583333333337</v>
      </c>
    </row>
    <row r="90" spans="1:10" ht="13">
      <c r="A90" s="12" t="s">
        <v>12</v>
      </c>
      <c r="B90" s="104" t="s">
        <v>85</v>
      </c>
      <c r="C90" s="104"/>
      <c r="D90" s="104"/>
      <c r="E90" s="104"/>
      <c r="F90" s="104"/>
      <c r="G90" s="104"/>
      <c r="H90" s="104"/>
      <c r="I90" s="104"/>
      <c r="J90" s="13">
        <f>J84/30*15/12*0.78%</f>
        <v>1.2649975000000002</v>
      </c>
    </row>
    <row r="91" spans="1:10" ht="13">
      <c r="A91" s="12" t="s">
        <v>29</v>
      </c>
      <c r="B91" s="104" t="s">
        <v>86</v>
      </c>
      <c r="C91" s="104"/>
      <c r="D91" s="104"/>
      <c r="E91" s="104"/>
      <c r="F91" s="104"/>
      <c r="G91" s="104"/>
      <c r="H91" s="104"/>
      <c r="I91" s="104"/>
      <c r="J91" s="16">
        <f>(J30+J36)/12*4/12*1%</f>
        <v>0.92493611111111118</v>
      </c>
    </row>
    <row r="92" spans="1:10" ht="13">
      <c r="A92" s="35" t="s">
        <v>53</v>
      </c>
      <c r="B92" s="118" t="s">
        <v>87</v>
      </c>
      <c r="C92" s="118"/>
      <c r="D92" s="118"/>
      <c r="E92" s="118"/>
      <c r="F92" s="118"/>
      <c r="G92" s="118"/>
      <c r="H92" s="118"/>
      <c r="I92" s="118"/>
      <c r="J92" s="13">
        <f>J84/30*0.15/12</f>
        <v>1.6217916666666667</v>
      </c>
    </row>
    <row r="93" spans="1:10" ht="13">
      <c r="A93" s="105" t="s">
        <v>40</v>
      </c>
      <c r="B93" s="105"/>
      <c r="C93" s="105"/>
      <c r="D93" s="105"/>
      <c r="E93" s="105"/>
      <c r="F93" s="105"/>
      <c r="G93" s="105"/>
      <c r="H93" s="105"/>
      <c r="I93" s="105"/>
      <c r="J93" s="36">
        <f>SUM(J87:J92)</f>
        <v>299.00381555555555</v>
      </c>
    </row>
    <row r="94" spans="1:10" ht="14.65" customHeight="1">
      <c r="A94" s="12"/>
      <c r="B94" s="104"/>
      <c r="C94" s="104"/>
      <c r="D94" s="104"/>
      <c r="E94" s="104"/>
      <c r="F94" s="104"/>
      <c r="G94" s="104"/>
      <c r="H94" s="104"/>
      <c r="I94" s="104"/>
      <c r="J94" s="13"/>
    </row>
    <row r="95" spans="1:10" ht="13">
      <c r="A95" s="105" t="s">
        <v>40</v>
      </c>
      <c r="B95" s="105"/>
      <c r="C95" s="105"/>
      <c r="D95" s="105"/>
      <c r="E95" s="105"/>
      <c r="F95" s="105"/>
      <c r="G95" s="105"/>
      <c r="H95" s="105"/>
      <c r="I95" s="105"/>
      <c r="J95" s="14">
        <f>SUM(J93:J94)</f>
        <v>299.00381555555555</v>
      </c>
    </row>
    <row r="96" spans="1:10" ht="16.149999999999999" customHeight="1">
      <c r="A96" s="112" t="s">
        <v>88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14">
      <c r="A97" s="63" t="s">
        <v>89</v>
      </c>
      <c r="B97" s="113" t="s">
        <v>90</v>
      </c>
      <c r="C97" s="113"/>
      <c r="D97" s="113"/>
      <c r="E97" s="113"/>
      <c r="F97" s="113"/>
      <c r="G97" s="113"/>
      <c r="H97" s="113"/>
      <c r="I97" s="113"/>
      <c r="J97" s="37" t="s">
        <v>37</v>
      </c>
    </row>
    <row r="98" spans="1:10" ht="13">
      <c r="A98" s="8" t="s">
        <v>5</v>
      </c>
      <c r="B98" s="104" t="s">
        <v>91</v>
      </c>
      <c r="C98" s="104"/>
      <c r="D98" s="104"/>
      <c r="E98" s="104"/>
      <c r="F98" s="104"/>
      <c r="G98" s="104"/>
      <c r="H98" s="104"/>
      <c r="I98" s="104"/>
      <c r="J98" s="16">
        <v>0</v>
      </c>
    </row>
    <row r="99" spans="1:10" ht="13">
      <c r="A99" s="117" t="s">
        <v>40</v>
      </c>
      <c r="B99" s="117"/>
      <c r="C99" s="117"/>
      <c r="D99" s="117"/>
      <c r="E99" s="117"/>
      <c r="F99" s="117"/>
      <c r="G99" s="117"/>
      <c r="H99" s="117"/>
      <c r="I99" s="117"/>
      <c r="J99" s="16">
        <v>0</v>
      </c>
    </row>
    <row r="100" spans="1:10" ht="13">
      <c r="A100" s="12"/>
      <c r="B100" s="104"/>
      <c r="C100" s="104"/>
      <c r="D100" s="104"/>
      <c r="E100" s="104"/>
      <c r="F100" s="104"/>
      <c r="G100" s="104"/>
      <c r="H100" s="104"/>
      <c r="I100" s="104"/>
      <c r="J100" s="13"/>
    </row>
    <row r="101" spans="1:10" ht="13">
      <c r="A101" s="105" t="s">
        <v>40</v>
      </c>
      <c r="B101" s="105"/>
      <c r="C101" s="105"/>
      <c r="D101" s="105"/>
      <c r="E101" s="105"/>
      <c r="F101" s="105"/>
      <c r="G101" s="105"/>
      <c r="H101" s="105"/>
      <c r="I101" s="105"/>
      <c r="J101" s="14">
        <f>SUM(J99:J100)</f>
        <v>0</v>
      </c>
    </row>
    <row r="102" spans="1:10" ht="13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</row>
    <row r="103" spans="1:10" ht="16.149999999999999" customHeight="1">
      <c r="A103" s="112" t="s">
        <v>92</v>
      </c>
      <c r="B103" s="112"/>
      <c r="C103" s="112"/>
      <c r="D103" s="112"/>
      <c r="E103" s="112"/>
      <c r="F103" s="112"/>
      <c r="G103" s="112"/>
      <c r="H103" s="112"/>
      <c r="I103" s="112"/>
      <c r="J103" s="112"/>
    </row>
    <row r="104" spans="1:10" ht="16.149999999999999" customHeight="1">
      <c r="A104" s="64">
        <v>4</v>
      </c>
      <c r="B104" s="115" t="s">
        <v>93</v>
      </c>
      <c r="C104" s="115"/>
      <c r="D104" s="115"/>
      <c r="E104" s="115"/>
      <c r="F104" s="115"/>
      <c r="G104" s="115"/>
      <c r="H104" s="115"/>
      <c r="I104" s="115"/>
      <c r="J104" s="37" t="s">
        <v>37</v>
      </c>
    </row>
    <row r="105" spans="1:10" ht="14.65" customHeight="1">
      <c r="A105" s="1" t="s">
        <v>81</v>
      </c>
      <c r="B105" s="109" t="s">
        <v>94</v>
      </c>
      <c r="C105" s="109"/>
      <c r="D105" s="109"/>
      <c r="E105" s="109"/>
      <c r="F105" s="109"/>
      <c r="G105" s="109"/>
      <c r="H105" s="109"/>
      <c r="I105" s="109"/>
      <c r="J105" s="16">
        <f>J95</f>
        <v>299.00381555555555</v>
      </c>
    </row>
    <row r="106" spans="1:10" ht="14.65" customHeight="1">
      <c r="A106" s="1" t="s">
        <v>95</v>
      </c>
      <c r="B106" s="109" t="s">
        <v>96</v>
      </c>
      <c r="C106" s="109"/>
      <c r="D106" s="109"/>
      <c r="E106" s="109"/>
      <c r="F106" s="109"/>
      <c r="G106" s="109"/>
      <c r="H106" s="109"/>
      <c r="I106" s="109"/>
      <c r="J106" s="16">
        <f>J101</f>
        <v>0</v>
      </c>
    </row>
    <row r="107" spans="1:10" ht="14.65" customHeight="1">
      <c r="A107" s="116" t="s">
        <v>40</v>
      </c>
      <c r="B107" s="116"/>
      <c r="C107" s="116"/>
      <c r="D107" s="116"/>
      <c r="E107" s="116"/>
      <c r="F107" s="116"/>
      <c r="G107" s="116"/>
      <c r="H107" s="116"/>
      <c r="I107" s="116"/>
      <c r="J107" s="14">
        <f>SUM(J105+J106)</f>
        <v>299.00381555555555</v>
      </c>
    </row>
    <row r="108" spans="1:10" ht="13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</row>
    <row r="109" spans="1:10" ht="16.149999999999999" customHeight="1">
      <c r="A109" s="112" t="s">
        <v>97</v>
      </c>
      <c r="B109" s="112"/>
      <c r="C109" s="112"/>
      <c r="D109" s="112"/>
      <c r="E109" s="112"/>
      <c r="F109" s="112"/>
      <c r="G109" s="112"/>
      <c r="H109" s="112"/>
      <c r="I109" s="112"/>
      <c r="J109" s="112"/>
    </row>
    <row r="110" spans="1:10" ht="16.149999999999999" customHeight="1">
      <c r="A110" s="63">
        <v>5</v>
      </c>
      <c r="B110" s="113" t="s">
        <v>98</v>
      </c>
      <c r="C110" s="113"/>
      <c r="D110" s="113"/>
      <c r="E110" s="113"/>
      <c r="F110" s="113"/>
      <c r="G110" s="113"/>
      <c r="H110" s="113"/>
      <c r="I110" s="113"/>
      <c r="J110" s="63" t="s">
        <v>37</v>
      </c>
    </row>
    <row r="111" spans="1:10" ht="13">
      <c r="A111" s="8" t="s">
        <v>5</v>
      </c>
      <c r="B111" s="104" t="s">
        <v>185</v>
      </c>
      <c r="C111" s="104"/>
      <c r="D111" s="104"/>
      <c r="E111" s="104"/>
      <c r="F111" s="104"/>
      <c r="G111" s="104"/>
      <c r="H111" s="104"/>
      <c r="I111" s="104"/>
      <c r="J111" s="16">
        <f>Descritivo!E48</f>
        <v>91.369065656565652</v>
      </c>
    </row>
    <row r="112" spans="1:10" ht="13">
      <c r="A112" s="8" t="s">
        <v>7</v>
      </c>
      <c r="B112" s="104" t="s">
        <v>99</v>
      </c>
      <c r="C112" s="104"/>
      <c r="D112" s="104"/>
      <c r="E112" s="104"/>
      <c r="F112" s="104"/>
      <c r="G112" s="104"/>
      <c r="H112" s="104"/>
      <c r="I112" s="104"/>
      <c r="J112" s="27">
        <f>Descritivo!D93</f>
        <v>116.16919191919192</v>
      </c>
    </row>
    <row r="113" spans="1:10" ht="13">
      <c r="A113" s="8" t="s">
        <v>9</v>
      </c>
      <c r="B113" s="104" t="s">
        <v>139</v>
      </c>
      <c r="C113" s="104"/>
      <c r="D113" s="104"/>
      <c r="E113" s="104"/>
      <c r="F113" s="104"/>
      <c r="G113" s="104"/>
      <c r="H113" s="104"/>
      <c r="I113" s="104"/>
      <c r="J113" s="27">
        <f>Descritivo!C101</f>
        <v>36.363636363636367</v>
      </c>
    </row>
    <row r="114" spans="1:10" ht="13">
      <c r="A114" s="8" t="s">
        <v>12</v>
      </c>
      <c r="B114" s="104" t="s">
        <v>100</v>
      </c>
      <c r="C114" s="104"/>
      <c r="D114" s="104"/>
      <c r="E114" s="104"/>
      <c r="F114" s="104"/>
      <c r="G114" s="104"/>
      <c r="H114" s="104"/>
      <c r="I114" s="104"/>
      <c r="J114" s="27"/>
    </row>
    <row r="115" spans="1:10" ht="13">
      <c r="A115" s="105" t="s">
        <v>32</v>
      </c>
      <c r="B115" s="105"/>
      <c r="C115" s="105"/>
      <c r="D115" s="105"/>
      <c r="E115" s="105"/>
      <c r="F115" s="105"/>
      <c r="G115" s="105"/>
      <c r="H115" s="105"/>
      <c r="I115" s="105"/>
      <c r="J115" s="38">
        <f>SUM(J111:J114)</f>
        <v>243.90189393939394</v>
      </c>
    </row>
    <row r="116" spans="1:10" ht="13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</row>
    <row r="117" spans="1:10" ht="16.149999999999999" customHeight="1">
      <c r="A117" s="112" t="s">
        <v>101</v>
      </c>
      <c r="B117" s="112"/>
      <c r="C117" s="112"/>
      <c r="D117" s="112"/>
      <c r="E117" s="112"/>
      <c r="F117" s="112"/>
      <c r="G117" s="112"/>
      <c r="H117" s="112"/>
      <c r="I117" s="112"/>
      <c r="J117" s="112"/>
    </row>
    <row r="118" spans="1:10" ht="28">
      <c r="A118" s="63">
        <v>6</v>
      </c>
      <c r="B118" s="113" t="s">
        <v>102</v>
      </c>
      <c r="C118" s="113"/>
      <c r="D118" s="113"/>
      <c r="E118" s="113"/>
      <c r="F118" s="113"/>
      <c r="G118" s="113"/>
      <c r="H118" s="113"/>
      <c r="I118" s="64" t="s">
        <v>44</v>
      </c>
      <c r="J118" s="39" t="s">
        <v>103</v>
      </c>
    </row>
    <row r="119" spans="1:10" ht="12.75" customHeight="1">
      <c r="A119" s="111" t="s">
        <v>104</v>
      </c>
      <c r="B119" s="111"/>
      <c r="C119" s="111"/>
      <c r="D119" s="111"/>
      <c r="E119" s="111"/>
      <c r="F119" s="111"/>
      <c r="G119" s="111"/>
      <c r="H119" s="111"/>
      <c r="I119" s="40" t="s">
        <v>64</v>
      </c>
      <c r="J119" s="41">
        <f>SUM(J30+J71+J81+J107+J115)</f>
        <v>5816.8579317171716</v>
      </c>
    </row>
    <row r="120" spans="1:10" ht="15.5">
      <c r="A120" s="42" t="s">
        <v>5</v>
      </c>
      <c r="B120" s="110" t="s">
        <v>105</v>
      </c>
      <c r="C120" s="110"/>
      <c r="D120" s="110"/>
      <c r="E120" s="110"/>
      <c r="F120" s="110"/>
      <c r="G120" s="110"/>
      <c r="H120" s="110"/>
      <c r="I120" s="15">
        <v>0.1091</v>
      </c>
      <c r="J120" s="16">
        <f>ROUND(I120*J119,2)</f>
        <v>634.62</v>
      </c>
    </row>
    <row r="121" spans="1:10" ht="12.75" customHeight="1">
      <c r="A121" s="111" t="s">
        <v>106</v>
      </c>
      <c r="B121" s="111"/>
      <c r="C121" s="111"/>
      <c r="D121" s="111"/>
      <c r="E121" s="111"/>
      <c r="F121" s="111"/>
      <c r="G121" s="111"/>
      <c r="H121" s="111"/>
      <c r="I121" s="43" t="s">
        <v>64</v>
      </c>
      <c r="J121" s="41">
        <f>SUM(J30+J71+J81+J107+J115+J120)</f>
        <v>6451.4779317171715</v>
      </c>
    </row>
    <row r="122" spans="1:10" ht="15.5">
      <c r="A122" s="42" t="s">
        <v>7</v>
      </c>
      <c r="B122" s="110" t="s">
        <v>107</v>
      </c>
      <c r="C122" s="110"/>
      <c r="D122" s="110"/>
      <c r="E122" s="110"/>
      <c r="F122" s="110"/>
      <c r="G122" s="110"/>
      <c r="H122" s="110"/>
      <c r="I122" s="20">
        <v>0.15109700000000001</v>
      </c>
      <c r="J122" s="16">
        <f>ROUND(I122*J121,2)</f>
        <v>974.8</v>
      </c>
    </row>
    <row r="123" spans="1:10" ht="12.75" customHeight="1">
      <c r="A123" s="111" t="s">
        <v>108</v>
      </c>
      <c r="B123" s="111"/>
      <c r="C123" s="111"/>
      <c r="D123" s="111"/>
      <c r="E123" s="111"/>
      <c r="F123" s="111"/>
      <c r="G123" s="111"/>
      <c r="H123" s="111"/>
      <c r="I123" s="43" t="s">
        <v>64</v>
      </c>
      <c r="J123" s="41">
        <f>SUM(J30+J71+J81+J107+J115+J120+J122)</f>
        <v>7426.2779317171717</v>
      </c>
    </row>
    <row r="124" spans="1:10" ht="15.5">
      <c r="A124" s="42" t="s">
        <v>9</v>
      </c>
      <c r="B124" s="110" t="s">
        <v>109</v>
      </c>
      <c r="C124" s="110"/>
      <c r="D124" s="110"/>
      <c r="E124" s="110"/>
      <c r="F124" s="110"/>
      <c r="G124" s="110"/>
      <c r="H124" s="110"/>
      <c r="I124" s="9" t="s">
        <v>64</v>
      </c>
      <c r="J124" s="51" t="s">
        <v>64</v>
      </c>
    </row>
    <row r="125" spans="1:10" ht="13">
      <c r="A125" s="8"/>
      <c r="B125" s="104" t="s">
        <v>110</v>
      </c>
      <c r="C125" s="104"/>
      <c r="D125" s="104"/>
      <c r="E125" s="104"/>
      <c r="F125" s="104"/>
      <c r="G125" s="104"/>
      <c r="H125" s="104"/>
      <c r="I125" s="9" t="s">
        <v>64</v>
      </c>
      <c r="J125" s="51" t="s">
        <v>64</v>
      </c>
    </row>
    <row r="126" spans="1:10" ht="13">
      <c r="A126" s="8"/>
      <c r="B126" s="104" t="s">
        <v>111</v>
      </c>
      <c r="C126" s="104"/>
      <c r="D126" s="104"/>
      <c r="E126" s="104"/>
      <c r="F126" s="104"/>
      <c r="G126" s="104"/>
      <c r="H126" s="104"/>
      <c r="I126" s="44">
        <v>0.03</v>
      </c>
      <c r="J126" s="16">
        <f>ROUND(($J$123/(1-$I$135))*I126,2)</f>
        <v>243.88</v>
      </c>
    </row>
    <row r="127" spans="1:10" ht="13">
      <c r="A127" s="8"/>
      <c r="B127" s="104" t="s">
        <v>112</v>
      </c>
      <c r="C127" s="104"/>
      <c r="D127" s="104"/>
      <c r="E127" s="104"/>
      <c r="F127" s="104"/>
      <c r="G127" s="104"/>
      <c r="H127" s="104"/>
      <c r="I127" s="44">
        <v>6.4999999999999997E-3</v>
      </c>
      <c r="J127" s="16">
        <f>ROUND(($J$123/(1-$I$135))*I127,2)</f>
        <v>52.84</v>
      </c>
    </row>
    <row r="128" spans="1:10" ht="27.65" customHeight="1">
      <c r="A128" s="8"/>
      <c r="B128" s="109" t="s">
        <v>113</v>
      </c>
      <c r="C128" s="109"/>
      <c r="D128" s="109"/>
      <c r="E128" s="109"/>
      <c r="F128" s="109"/>
      <c r="G128" s="109"/>
      <c r="H128" s="109"/>
      <c r="I128" s="45" t="s">
        <v>64</v>
      </c>
      <c r="J128" s="51" t="s">
        <v>64</v>
      </c>
    </row>
    <row r="129" spans="1:10" ht="27.65" customHeight="1">
      <c r="A129" s="8"/>
      <c r="B129" s="109" t="s">
        <v>114</v>
      </c>
      <c r="C129" s="109"/>
      <c r="D129" s="109"/>
      <c r="E129" s="109"/>
      <c r="F129" s="109"/>
      <c r="G129" s="109"/>
      <c r="H129" s="109"/>
      <c r="I129" s="45" t="s">
        <v>64</v>
      </c>
      <c r="J129" s="51" t="s">
        <v>64</v>
      </c>
    </row>
    <row r="130" spans="1:10" ht="13">
      <c r="A130" s="8"/>
      <c r="B130" s="104" t="s">
        <v>115</v>
      </c>
      <c r="C130" s="104"/>
      <c r="D130" s="104"/>
      <c r="E130" s="104"/>
      <c r="F130" s="104"/>
      <c r="G130" s="104"/>
      <c r="H130" s="104"/>
      <c r="I130" s="45" t="s">
        <v>64</v>
      </c>
      <c r="J130" s="51" t="s">
        <v>64</v>
      </c>
    </row>
    <row r="131" spans="1:10" ht="13">
      <c r="A131" s="8"/>
      <c r="B131" s="104" t="s">
        <v>116</v>
      </c>
      <c r="C131" s="104"/>
      <c r="D131" s="104"/>
      <c r="E131" s="104"/>
      <c r="F131" s="104"/>
      <c r="G131" s="104"/>
      <c r="H131" s="104"/>
      <c r="I131" s="45" t="s">
        <v>64</v>
      </c>
      <c r="J131" s="51" t="s">
        <v>64</v>
      </c>
    </row>
    <row r="132" spans="1:10" ht="13">
      <c r="A132" s="8"/>
      <c r="B132" s="104" t="s">
        <v>134</v>
      </c>
      <c r="C132" s="104"/>
      <c r="D132" s="104"/>
      <c r="E132" s="104"/>
      <c r="F132" s="104"/>
      <c r="G132" s="104"/>
      <c r="H132" s="104"/>
      <c r="I132" s="44">
        <v>0.05</v>
      </c>
      <c r="J132" s="16">
        <f>ROUND(($J$123/(1-$I$135))*I132,2)</f>
        <v>406.47</v>
      </c>
    </row>
    <row r="133" spans="1:10" ht="13">
      <c r="A133" s="105" t="s">
        <v>40</v>
      </c>
      <c r="B133" s="105"/>
      <c r="C133" s="105"/>
      <c r="D133" s="105"/>
      <c r="E133" s="105"/>
      <c r="F133" s="105"/>
      <c r="G133" s="105"/>
      <c r="H133" s="105"/>
      <c r="I133" s="105"/>
      <c r="J133" s="14">
        <f>SUM(J120+J122+J126+J127+J132)</f>
        <v>2312.61</v>
      </c>
    </row>
    <row r="134" spans="1:10" ht="13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</row>
    <row r="135" spans="1:10" ht="14.65" customHeight="1">
      <c r="A135" s="106" t="s">
        <v>117</v>
      </c>
      <c r="B135" s="106"/>
      <c r="C135" s="106"/>
      <c r="D135" s="106"/>
      <c r="E135" s="106"/>
      <c r="F135" s="106"/>
      <c r="G135" s="106"/>
      <c r="H135" s="106"/>
      <c r="I135" s="46">
        <f>SUM(I126:I132)</f>
        <v>8.6499999999999994E-2</v>
      </c>
      <c r="J135" s="41">
        <f>SUM(J126:J132)</f>
        <v>703.19</v>
      </c>
    </row>
    <row r="136" spans="1:10">
      <c r="A136" s="107" t="s">
        <v>118</v>
      </c>
      <c r="B136" s="107"/>
      <c r="C136" s="107"/>
      <c r="D136" s="108" t="s">
        <v>119</v>
      </c>
      <c r="E136" s="108"/>
      <c r="F136" s="108"/>
      <c r="G136" s="108"/>
      <c r="H136" s="108"/>
      <c r="I136" s="108"/>
      <c r="J136" s="108"/>
    </row>
    <row r="137" spans="1:10">
      <c r="A137" s="107"/>
      <c r="B137" s="107"/>
      <c r="C137" s="107"/>
      <c r="D137" s="108" t="s">
        <v>120</v>
      </c>
      <c r="E137" s="108"/>
      <c r="F137" s="108"/>
      <c r="G137" s="108"/>
      <c r="H137" s="108"/>
      <c r="I137" s="108"/>
      <c r="J137" s="108"/>
    </row>
    <row r="138" spans="1:10">
      <c r="A138" s="107"/>
      <c r="B138" s="107"/>
      <c r="C138" s="107"/>
      <c r="D138" s="108" t="s">
        <v>121</v>
      </c>
      <c r="E138" s="108"/>
      <c r="F138" s="108"/>
      <c r="G138" s="108"/>
      <c r="H138" s="108"/>
      <c r="I138" s="108"/>
      <c r="J138" s="108"/>
    </row>
    <row r="139" spans="1:10" ht="13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</row>
    <row r="140" spans="1:10" ht="46" customHeight="1">
      <c r="A140" s="102" t="s">
        <v>122</v>
      </c>
      <c r="B140" s="102"/>
      <c r="C140" s="102"/>
      <c r="D140" s="102"/>
      <c r="E140" s="102"/>
      <c r="F140" s="102"/>
      <c r="G140" s="102"/>
      <c r="H140" s="102"/>
      <c r="I140" s="102"/>
      <c r="J140" s="102"/>
    </row>
    <row r="141" spans="1:10" ht="14.65" customHeight="1">
      <c r="A141" s="103" t="s">
        <v>123</v>
      </c>
      <c r="B141" s="103"/>
      <c r="C141" s="103"/>
      <c r="D141" s="103"/>
      <c r="E141" s="103"/>
      <c r="F141" s="103"/>
      <c r="G141" s="103"/>
      <c r="H141" s="103"/>
      <c r="I141" s="103"/>
      <c r="J141" s="47" t="s">
        <v>37</v>
      </c>
    </row>
    <row r="142" spans="1:10" ht="14.65" customHeight="1">
      <c r="A142" s="48" t="s">
        <v>5</v>
      </c>
      <c r="B142" s="99" t="s">
        <v>124</v>
      </c>
      <c r="C142" s="99"/>
      <c r="D142" s="99"/>
      <c r="E142" s="99"/>
      <c r="F142" s="99"/>
      <c r="G142" s="99"/>
      <c r="H142" s="99"/>
      <c r="I142" s="99"/>
      <c r="J142" s="27">
        <f>J30</f>
        <v>3232</v>
      </c>
    </row>
    <row r="143" spans="1:10" ht="14.65" customHeight="1">
      <c r="A143" s="48" t="s">
        <v>7</v>
      </c>
      <c r="B143" s="99" t="s">
        <v>33</v>
      </c>
      <c r="C143" s="99"/>
      <c r="D143" s="99"/>
      <c r="E143" s="99"/>
      <c r="F143" s="99"/>
      <c r="G143" s="99"/>
      <c r="H143" s="99"/>
      <c r="I143" s="99"/>
      <c r="J143" s="27">
        <f>J71</f>
        <v>1904.96</v>
      </c>
    </row>
    <row r="144" spans="1:10" ht="14.65" customHeight="1">
      <c r="A144" s="48" t="s">
        <v>9</v>
      </c>
      <c r="B144" s="99" t="s">
        <v>125</v>
      </c>
      <c r="C144" s="99"/>
      <c r="D144" s="99"/>
      <c r="E144" s="99"/>
      <c r="F144" s="99"/>
      <c r="G144" s="99"/>
      <c r="H144" s="99"/>
      <c r="I144" s="99"/>
      <c r="J144" s="27">
        <f>J81</f>
        <v>136.99222222222221</v>
      </c>
    </row>
    <row r="145" spans="1:12" ht="14.65" customHeight="1">
      <c r="A145" s="48" t="s">
        <v>12</v>
      </c>
      <c r="B145" s="99" t="s">
        <v>126</v>
      </c>
      <c r="C145" s="99"/>
      <c r="D145" s="99"/>
      <c r="E145" s="99"/>
      <c r="F145" s="99"/>
      <c r="G145" s="99"/>
      <c r="H145" s="99"/>
      <c r="I145" s="99"/>
      <c r="J145" s="27">
        <f>J107</f>
        <v>299.00381555555555</v>
      </c>
    </row>
    <row r="146" spans="1:12" ht="14.65" customHeight="1">
      <c r="A146" s="48" t="s">
        <v>29</v>
      </c>
      <c r="B146" s="99" t="s">
        <v>127</v>
      </c>
      <c r="C146" s="99"/>
      <c r="D146" s="99"/>
      <c r="E146" s="99"/>
      <c r="F146" s="99"/>
      <c r="G146" s="99"/>
      <c r="H146" s="99"/>
      <c r="I146" s="99"/>
      <c r="J146" s="27">
        <f>J115</f>
        <v>243.90189393939394</v>
      </c>
    </row>
    <row r="147" spans="1:12" ht="14.65" customHeight="1">
      <c r="A147" s="100" t="s">
        <v>128</v>
      </c>
      <c r="B147" s="100"/>
      <c r="C147" s="100"/>
      <c r="D147" s="100"/>
      <c r="E147" s="100"/>
      <c r="F147" s="100"/>
      <c r="G147" s="100"/>
      <c r="H147" s="100"/>
      <c r="I147" s="100"/>
      <c r="J147" s="38">
        <f>SUM(J142:J146)</f>
        <v>5816.8579317171716</v>
      </c>
    </row>
    <row r="148" spans="1:12" ht="14.65" customHeight="1">
      <c r="A148" s="48" t="s">
        <v>53</v>
      </c>
      <c r="B148" s="99" t="s">
        <v>129</v>
      </c>
      <c r="C148" s="99"/>
      <c r="D148" s="99"/>
      <c r="E148" s="99"/>
      <c r="F148" s="99"/>
      <c r="G148" s="99"/>
      <c r="H148" s="99"/>
      <c r="I148" s="99"/>
      <c r="J148" s="27">
        <f>J133</f>
        <v>2312.61</v>
      </c>
    </row>
    <row r="149" spans="1:12" ht="14.65" customHeight="1">
      <c r="A149" s="100" t="s">
        <v>130</v>
      </c>
      <c r="B149" s="100"/>
      <c r="C149" s="100"/>
      <c r="D149" s="100"/>
      <c r="E149" s="100"/>
      <c r="F149" s="100"/>
      <c r="G149" s="100"/>
      <c r="H149" s="100"/>
      <c r="I149" s="100"/>
      <c r="J149" s="38">
        <f>SUM(J147:J148)</f>
        <v>8129.4679317171722</v>
      </c>
    </row>
    <row r="150" spans="1:12" ht="27.5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A1:J1"/>
    <mergeCell ref="A2:J2"/>
    <mergeCell ref="A3:G3"/>
    <mergeCell ref="H3:J3"/>
    <mergeCell ref="A4:G4"/>
    <mergeCell ref="H4:J4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60:H60"/>
    <mergeCell ref="B61:I61"/>
    <mergeCell ref="B62:I62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5853F-175E-4743-A7AF-120C31E28600}">
  <sheetPr>
    <tabColor rgb="FF0070C0"/>
  </sheetPr>
  <dimension ref="A1:Q172"/>
  <sheetViews>
    <sheetView showGridLines="0" view="pageBreakPreview" topLeftCell="A46" zoomScaleNormal="100" zoomScaleSheetLayoutView="100" zoomScalePageLayoutView="95" workbookViewId="0">
      <selection activeCell="J64" sqref="J64"/>
    </sheetView>
  </sheetViews>
  <sheetFormatPr defaultRowHeight="12.5"/>
  <cols>
    <col min="1" max="9" width="8.7265625" customWidth="1"/>
    <col min="10" max="10" width="15.453125" customWidth="1"/>
    <col min="11" max="11" width="17.453125" customWidth="1"/>
    <col min="12" max="12" width="17" customWidth="1"/>
    <col min="13" max="16" width="8.7265625" customWidth="1"/>
    <col min="17" max="17" width="10.81640625" customWidth="1"/>
    <col min="18" max="1025" width="8.7265625" customWidth="1"/>
  </cols>
  <sheetData>
    <row r="1" spans="1:12" ht="24.25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2" ht="46.5" customHeight="1">
      <c r="A2" s="136" t="s">
        <v>297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2" ht="14.65" customHeight="1">
      <c r="A3" s="109" t="s">
        <v>1</v>
      </c>
      <c r="B3" s="109"/>
      <c r="C3" s="109"/>
      <c r="D3" s="109"/>
      <c r="E3" s="109"/>
      <c r="F3" s="109"/>
      <c r="G3" s="109"/>
      <c r="H3" s="138" t="s">
        <v>145</v>
      </c>
      <c r="I3" s="139"/>
      <c r="J3" s="139"/>
    </row>
    <row r="4" spans="1:12" ht="14.65" customHeight="1">
      <c r="A4" s="109" t="s">
        <v>2</v>
      </c>
      <c r="B4" s="109"/>
      <c r="C4" s="109"/>
      <c r="D4" s="109"/>
      <c r="E4" s="109"/>
      <c r="F4" s="109"/>
      <c r="G4" s="109"/>
      <c r="H4" s="140" t="s">
        <v>144</v>
      </c>
      <c r="I4" s="139"/>
      <c r="J4" s="139"/>
    </row>
    <row r="5" spans="1:12" ht="14.65" customHeight="1">
      <c r="A5" s="109" t="s">
        <v>3</v>
      </c>
      <c r="B5" s="109"/>
      <c r="C5" s="109"/>
      <c r="D5" s="109"/>
      <c r="E5" s="109"/>
      <c r="F5" s="109"/>
      <c r="G5" s="109"/>
      <c r="H5" s="109"/>
      <c r="I5" s="109"/>
      <c r="J5" s="109"/>
    </row>
    <row r="6" spans="1:12" ht="16.149999999999999" customHeight="1">
      <c r="A6" s="142" t="s">
        <v>4</v>
      </c>
      <c r="B6" s="142"/>
      <c r="C6" s="142"/>
      <c r="D6" s="142"/>
      <c r="E6" s="142"/>
      <c r="F6" s="142"/>
      <c r="G6" s="142"/>
      <c r="H6" s="142"/>
      <c r="I6" s="142"/>
      <c r="J6" s="142"/>
    </row>
    <row r="7" spans="1:12" ht="14.65" customHeight="1">
      <c r="A7" s="1" t="s">
        <v>5</v>
      </c>
      <c r="B7" s="109" t="s">
        <v>6</v>
      </c>
      <c r="C7" s="109"/>
      <c r="D7" s="109"/>
      <c r="E7" s="109"/>
      <c r="F7" s="109"/>
      <c r="G7" s="109"/>
      <c r="H7" s="141">
        <v>44029</v>
      </c>
      <c r="I7" s="141"/>
      <c r="J7" s="141"/>
    </row>
    <row r="8" spans="1:12" ht="14.65" customHeight="1">
      <c r="A8" s="1" t="s">
        <v>7</v>
      </c>
      <c r="B8" s="109" t="s">
        <v>8</v>
      </c>
      <c r="C8" s="109"/>
      <c r="D8" s="109"/>
      <c r="E8" s="109"/>
      <c r="F8" s="109"/>
      <c r="G8" s="109"/>
      <c r="H8" s="141" t="s">
        <v>140</v>
      </c>
      <c r="I8" s="141"/>
      <c r="J8" s="141"/>
    </row>
    <row r="9" spans="1:12" ht="39" customHeight="1">
      <c r="A9" s="1" t="s">
        <v>9</v>
      </c>
      <c r="B9" s="109" t="s">
        <v>10</v>
      </c>
      <c r="C9" s="109"/>
      <c r="D9" s="109"/>
      <c r="E9" s="109"/>
      <c r="F9" s="109"/>
      <c r="G9" s="109"/>
      <c r="H9" s="141" t="s">
        <v>11</v>
      </c>
      <c r="I9" s="141"/>
      <c r="J9" s="141"/>
      <c r="L9" s="55"/>
    </row>
    <row r="10" spans="1:12" ht="14.65" customHeight="1">
      <c r="A10" s="1" t="s">
        <v>12</v>
      </c>
      <c r="B10" s="109" t="s">
        <v>13</v>
      </c>
      <c r="C10" s="109"/>
      <c r="D10" s="109"/>
      <c r="E10" s="109"/>
      <c r="F10" s="109"/>
      <c r="G10" s="109"/>
      <c r="H10" s="139">
        <v>12</v>
      </c>
      <c r="I10" s="139"/>
      <c r="J10" s="139"/>
    </row>
    <row r="11" spans="1:12" ht="13">
      <c r="A11" s="101"/>
      <c r="B11" s="101"/>
      <c r="C11" s="101"/>
      <c r="D11" s="101"/>
      <c r="E11" s="101"/>
      <c r="F11" s="101"/>
      <c r="G11" s="101"/>
      <c r="H11" s="101"/>
      <c r="I11" s="101"/>
      <c r="J11" s="101"/>
    </row>
    <row r="12" spans="1:12" ht="48.75" customHeight="1">
      <c r="A12" s="132" t="s">
        <v>14</v>
      </c>
      <c r="B12" s="132"/>
      <c r="C12" s="132"/>
      <c r="D12" s="132"/>
      <c r="E12" s="132"/>
      <c r="F12" s="132"/>
      <c r="G12" s="132"/>
      <c r="H12" s="132"/>
      <c r="I12" s="132"/>
      <c r="J12" s="132"/>
      <c r="L12" s="55"/>
    </row>
    <row r="13" spans="1:12" ht="13">
      <c r="A13" s="101"/>
      <c r="B13" s="101"/>
      <c r="C13" s="101"/>
      <c r="D13" s="101"/>
      <c r="E13" s="101"/>
      <c r="F13" s="101"/>
      <c r="G13" s="101"/>
      <c r="H13" s="101"/>
      <c r="I13" s="101"/>
      <c r="J13" s="101"/>
    </row>
    <row r="14" spans="1:12" ht="16.149999999999999" customHeight="1">
      <c r="A14" s="115" t="s">
        <v>15</v>
      </c>
      <c r="B14" s="115"/>
      <c r="C14" s="115"/>
      <c r="D14" s="115"/>
      <c r="E14" s="115"/>
      <c r="F14" s="115"/>
      <c r="G14" s="115"/>
      <c r="H14" s="115"/>
      <c r="I14" s="115"/>
      <c r="J14" s="115"/>
      <c r="L14" s="55"/>
    </row>
    <row r="15" spans="1:12" ht="16.149999999999999" customHeight="1">
      <c r="A15" s="1">
        <v>1</v>
      </c>
      <c r="B15" s="109" t="s">
        <v>16</v>
      </c>
      <c r="C15" s="109"/>
      <c r="D15" s="109"/>
      <c r="E15" s="109"/>
      <c r="F15" s="109"/>
      <c r="G15" s="109"/>
      <c r="H15" s="134" t="s">
        <v>17</v>
      </c>
      <c r="I15" s="134"/>
      <c r="J15" s="134"/>
    </row>
    <row r="16" spans="1:12" ht="16.149999999999999" customHeight="1">
      <c r="A16" s="1">
        <v>2</v>
      </c>
      <c r="B16" s="109" t="s">
        <v>18</v>
      </c>
      <c r="C16" s="109"/>
      <c r="D16" s="109"/>
      <c r="E16" s="109"/>
      <c r="F16" s="109"/>
      <c r="G16" s="109"/>
      <c r="H16" s="134">
        <v>9511</v>
      </c>
      <c r="I16" s="134"/>
      <c r="J16" s="134"/>
    </row>
    <row r="17" spans="1:17" ht="16.149999999999999" customHeight="1">
      <c r="A17" s="1">
        <v>3</v>
      </c>
      <c r="B17" s="109" t="s">
        <v>19</v>
      </c>
      <c r="C17" s="109"/>
      <c r="D17" s="109"/>
      <c r="E17" s="109"/>
      <c r="F17" s="109"/>
      <c r="G17" s="109"/>
      <c r="H17" s="143">
        <f>1212*6</f>
        <v>7272</v>
      </c>
      <c r="I17" s="143"/>
      <c r="J17" s="143"/>
    </row>
    <row r="18" spans="1:17" ht="16.149999999999999" customHeight="1">
      <c r="A18" s="1">
        <v>4</v>
      </c>
      <c r="B18" s="109" t="s">
        <v>20</v>
      </c>
      <c r="C18" s="109"/>
      <c r="D18" s="109"/>
      <c r="E18" s="109"/>
      <c r="F18" s="109"/>
      <c r="G18" s="109"/>
      <c r="H18" s="134" t="s">
        <v>181</v>
      </c>
      <c r="I18" s="134"/>
      <c r="J18" s="134"/>
    </row>
    <row r="19" spans="1:17" ht="16.149999999999999" customHeight="1">
      <c r="A19" s="1">
        <v>5</v>
      </c>
      <c r="B19" s="109" t="s">
        <v>21</v>
      </c>
      <c r="C19" s="109"/>
      <c r="D19" s="109"/>
      <c r="E19" s="109"/>
      <c r="F19" s="109"/>
      <c r="G19" s="109"/>
      <c r="H19" s="133" t="s">
        <v>141</v>
      </c>
      <c r="I19" s="133"/>
      <c r="J19" s="133"/>
    </row>
    <row r="20" spans="1:17" ht="16.149999999999999" customHeight="1">
      <c r="A20" s="1">
        <v>5</v>
      </c>
      <c r="B20" s="109" t="s">
        <v>133</v>
      </c>
      <c r="C20" s="109"/>
      <c r="D20" s="109"/>
      <c r="E20" s="109"/>
      <c r="F20" s="109"/>
      <c r="G20" s="109"/>
      <c r="H20" s="131">
        <v>12</v>
      </c>
      <c r="I20" s="131"/>
      <c r="J20" s="131"/>
    </row>
    <row r="21" spans="1:17" ht="13">
      <c r="A21" s="101"/>
      <c r="B21" s="101"/>
      <c r="C21" s="101"/>
      <c r="D21" s="101"/>
      <c r="E21" s="101"/>
      <c r="F21" s="101"/>
      <c r="G21" s="101"/>
      <c r="H21" s="101"/>
      <c r="I21" s="101"/>
      <c r="J21" s="101"/>
    </row>
    <row r="22" spans="1:17" ht="20.65" customHeight="1">
      <c r="A22" s="132" t="s">
        <v>22</v>
      </c>
      <c r="B22" s="132"/>
      <c r="C22" s="132"/>
      <c r="D22" s="132"/>
      <c r="E22" s="132"/>
      <c r="F22" s="132"/>
      <c r="G22" s="132"/>
      <c r="H22" s="132"/>
      <c r="I22" s="132"/>
      <c r="J22" s="132"/>
    </row>
    <row r="23" spans="1:17" ht="30.4" customHeight="1">
      <c r="A23" s="64">
        <v>1</v>
      </c>
      <c r="B23" s="115" t="s">
        <v>23</v>
      </c>
      <c r="C23" s="115"/>
      <c r="D23" s="115"/>
      <c r="E23" s="115"/>
      <c r="F23" s="115"/>
      <c r="G23" s="115"/>
      <c r="H23" s="115" t="s">
        <v>24</v>
      </c>
      <c r="I23" s="115"/>
      <c r="J23" s="64" t="s">
        <v>25</v>
      </c>
    </row>
    <row r="24" spans="1:17" ht="12.75" customHeight="1">
      <c r="A24" s="1" t="s">
        <v>5</v>
      </c>
      <c r="B24" s="109" t="s">
        <v>143</v>
      </c>
      <c r="C24" s="109"/>
      <c r="D24" s="109"/>
      <c r="E24" s="109"/>
      <c r="F24" s="109"/>
      <c r="G24" s="109"/>
      <c r="H24" s="109"/>
      <c r="I24" s="109"/>
      <c r="J24" s="2">
        <f>ROUND(H17/36*H20,2)</f>
        <v>2424</v>
      </c>
    </row>
    <row r="25" spans="1:17" ht="12.75" customHeight="1">
      <c r="A25" s="66" t="s">
        <v>7</v>
      </c>
      <c r="B25" s="109" t="s">
        <v>26</v>
      </c>
      <c r="C25" s="109"/>
      <c r="D25" s="109"/>
      <c r="E25" s="109"/>
      <c r="F25" s="109"/>
      <c r="G25" s="109"/>
      <c r="H25" s="109"/>
      <c r="I25" s="3"/>
      <c r="J25" s="2"/>
      <c r="K25" s="57"/>
    </row>
    <row r="26" spans="1:17" ht="12.75" customHeight="1">
      <c r="A26" s="66" t="s">
        <v>9</v>
      </c>
      <c r="B26" s="109" t="s">
        <v>27</v>
      </c>
      <c r="C26" s="109"/>
      <c r="D26" s="109"/>
      <c r="E26" s="109"/>
      <c r="F26" s="109"/>
      <c r="G26" s="109"/>
      <c r="H26" s="109"/>
      <c r="I26" s="109"/>
      <c r="J26" s="2"/>
    </row>
    <row r="27" spans="1:17" ht="12.75" customHeight="1">
      <c r="A27" s="66" t="s">
        <v>12</v>
      </c>
      <c r="B27" s="109" t="s">
        <v>28</v>
      </c>
      <c r="C27" s="109"/>
      <c r="D27" s="109"/>
      <c r="E27" s="109"/>
      <c r="F27" s="109"/>
      <c r="G27" s="109"/>
      <c r="H27" s="109"/>
      <c r="I27" s="109"/>
      <c r="J27" s="2"/>
    </row>
    <row r="28" spans="1:17" ht="12.75" customHeight="1">
      <c r="A28" s="66" t="s">
        <v>29</v>
      </c>
      <c r="B28" s="109" t="s">
        <v>30</v>
      </c>
      <c r="C28" s="109"/>
      <c r="D28" s="109"/>
      <c r="E28" s="109"/>
      <c r="F28" s="109"/>
      <c r="G28" s="109"/>
      <c r="H28" s="109"/>
      <c r="I28" s="109"/>
      <c r="J28" s="2"/>
      <c r="Q28" s="54"/>
    </row>
    <row r="29" spans="1:17" ht="12.75" customHeight="1">
      <c r="A29" s="1" t="s">
        <v>7</v>
      </c>
      <c r="B29" s="109" t="s">
        <v>31</v>
      </c>
      <c r="C29" s="109"/>
      <c r="D29" s="109"/>
      <c r="E29" s="109"/>
      <c r="F29" s="109"/>
      <c r="G29" s="109"/>
      <c r="H29" s="109"/>
      <c r="I29" s="4"/>
      <c r="J29" s="2">
        <f>I29*J24</f>
        <v>0</v>
      </c>
      <c r="Q29" s="54"/>
    </row>
    <row r="30" spans="1:17" ht="15.75" customHeight="1">
      <c r="A30" s="116" t="s">
        <v>32</v>
      </c>
      <c r="B30" s="116"/>
      <c r="C30" s="116"/>
      <c r="D30" s="116"/>
      <c r="E30" s="116"/>
      <c r="F30" s="116"/>
      <c r="G30" s="116"/>
      <c r="H30" s="116"/>
      <c r="I30" s="116"/>
      <c r="J30" s="5">
        <f>SUM(J24:J29)</f>
        <v>2424</v>
      </c>
    </row>
    <row r="31" spans="1:17" ht="13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Q31" s="54"/>
    </row>
    <row r="32" spans="1:17" ht="16.149999999999999" customHeight="1">
      <c r="A32" s="112" t="s">
        <v>33</v>
      </c>
      <c r="B32" s="112"/>
      <c r="C32" s="112"/>
      <c r="D32" s="112"/>
      <c r="E32" s="112"/>
      <c r="F32" s="112"/>
      <c r="G32" s="112"/>
      <c r="H32" s="112"/>
      <c r="I32" s="112"/>
      <c r="J32" s="112"/>
    </row>
    <row r="33" spans="1:13" ht="14">
      <c r="A33" s="129" t="s">
        <v>34</v>
      </c>
      <c r="B33" s="129"/>
      <c r="C33" s="129"/>
      <c r="D33" s="129"/>
      <c r="E33" s="129"/>
      <c r="F33" s="129"/>
      <c r="G33" s="129"/>
      <c r="H33" s="129"/>
      <c r="I33" s="129"/>
      <c r="J33" s="129"/>
    </row>
    <row r="34" spans="1:13" ht="14">
      <c r="A34" s="6" t="s">
        <v>35</v>
      </c>
      <c r="B34" s="130" t="s">
        <v>36</v>
      </c>
      <c r="C34" s="130"/>
      <c r="D34" s="130"/>
      <c r="E34" s="130"/>
      <c r="F34" s="130"/>
      <c r="G34" s="130"/>
      <c r="H34" s="130"/>
      <c r="I34" s="130"/>
      <c r="J34" s="7" t="s">
        <v>37</v>
      </c>
    </row>
    <row r="35" spans="1:13" ht="27.65" customHeight="1">
      <c r="A35" s="8" t="s">
        <v>5</v>
      </c>
      <c r="B35" s="109" t="s">
        <v>38</v>
      </c>
      <c r="C35" s="109"/>
      <c r="D35" s="109"/>
      <c r="E35" s="109"/>
      <c r="F35" s="109"/>
      <c r="G35" s="109"/>
      <c r="H35" s="109"/>
      <c r="I35" s="9">
        <v>8.3299999999999999E-2</v>
      </c>
      <c r="J35" s="10">
        <f>ROUND($J$30*I35,2)</f>
        <v>201.92</v>
      </c>
      <c r="M35" s="55"/>
    </row>
    <row r="36" spans="1:13" ht="36.25" customHeight="1">
      <c r="A36" s="8" t="s">
        <v>7</v>
      </c>
      <c r="B36" s="120" t="s">
        <v>39</v>
      </c>
      <c r="C36" s="120"/>
      <c r="D36" s="120"/>
      <c r="E36" s="120"/>
      <c r="F36" s="120"/>
      <c r="G36" s="120"/>
      <c r="H36" s="120"/>
      <c r="I36" s="11">
        <v>3.0249999999999999E-2</v>
      </c>
      <c r="J36" s="10">
        <f>ROUND($J$30*I36,2)</f>
        <v>73.33</v>
      </c>
    </row>
    <row r="37" spans="1:13" ht="13">
      <c r="A37" s="128" t="s">
        <v>40</v>
      </c>
      <c r="B37" s="128"/>
      <c r="C37" s="128"/>
      <c r="D37" s="128"/>
      <c r="E37" s="128"/>
      <c r="F37" s="128"/>
      <c r="G37" s="128"/>
      <c r="H37" s="128"/>
      <c r="I37" s="128"/>
      <c r="J37" s="65">
        <f>SUM(J35+J36)</f>
        <v>275.25</v>
      </c>
    </row>
    <row r="38" spans="1:13" ht="13">
      <c r="A38" s="101"/>
      <c r="B38" s="101"/>
      <c r="C38" s="101"/>
      <c r="D38" s="101"/>
      <c r="E38" s="101"/>
      <c r="F38" s="101"/>
      <c r="G38" s="101"/>
      <c r="H38" s="101"/>
      <c r="I38" s="101"/>
      <c r="J38" s="101"/>
    </row>
    <row r="39" spans="1:13" ht="30.4" customHeight="1">
      <c r="A39" s="112" t="s">
        <v>41</v>
      </c>
      <c r="B39" s="112"/>
      <c r="C39" s="112"/>
      <c r="D39" s="112"/>
      <c r="E39" s="112"/>
      <c r="F39" s="112"/>
      <c r="G39" s="112"/>
      <c r="H39" s="112"/>
      <c r="I39" s="112"/>
      <c r="J39" s="112"/>
    </row>
    <row r="40" spans="1:13" ht="30.4" customHeight="1">
      <c r="A40" s="63" t="s">
        <v>42</v>
      </c>
      <c r="B40" s="113" t="s">
        <v>43</v>
      </c>
      <c r="C40" s="113"/>
      <c r="D40" s="113"/>
      <c r="E40" s="113"/>
      <c r="F40" s="113"/>
      <c r="G40" s="113"/>
      <c r="H40" s="113"/>
      <c r="I40" s="64" t="s">
        <v>44</v>
      </c>
      <c r="J40" s="64" t="s">
        <v>45</v>
      </c>
    </row>
    <row r="41" spans="1:13" ht="13">
      <c r="A41" s="8" t="s">
        <v>5</v>
      </c>
      <c r="B41" s="104" t="s">
        <v>46</v>
      </c>
      <c r="C41" s="104"/>
      <c r="D41" s="104"/>
      <c r="E41" s="104"/>
      <c r="F41" s="104"/>
      <c r="G41" s="104"/>
      <c r="H41" s="104"/>
      <c r="I41" s="15">
        <v>0.2</v>
      </c>
      <c r="J41" s="16">
        <f>ROUND(($J$30+$J$37)*I41,2)</f>
        <v>539.85</v>
      </c>
    </row>
    <row r="42" spans="1:13" ht="13">
      <c r="A42" s="8" t="s">
        <v>7</v>
      </c>
      <c r="B42" s="104" t="s">
        <v>47</v>
      </c>
      <c r="C42" s="104"/>
      <c r="D42" s="104"/>
      <c r="E42" s="104"/>
      <c r="F42" s="104"/>
      <c r="G42" s="104"/>
      <c r="H42" s="104"/>
      <c r="I42" s="15">
        <v>2.5000000000000001E-2</v>
      </c>
      <c r="J42" s="16">
        <f t="shared" ref="J42:J48" si="0">ROUND(($J$30+$J$37)*I42,2)</f>
        <v>67.48</v>
      </c>
    </row>
    <row r="43" spans="1:13" ht="23.9" customHeight="1">
      <c r="A43" s="8" t="s">
        <v>9</v>
      </c>
      <c r="B43" s="109" t="s">
        <v>48</v>
      </c>
      <c r="C43" s="109"/>
      <c r="D43" s="109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26.99</v>
      </c>
    </row>
    <row r="44" spans="1:13" ht="13">
      <c r="A44" s="8" t="s">
        <v>12</v>
      </c>
      <c r="B44" s="104" t="s">
        <v>51</v>
      </c>
      <c r="C44" s="104"/>
      <c r="D44" s="104"/>
      <c r="E44" s="104"/>
      <c r="F44" s="104"/>
      <c r="G44" s="104"/>
      <c r="H44" s="104"/>
      <c r="I44" s="15">
        <v>1.4999999999999999E-2</v>
      </c>
      <c r="J44" s="16">
        <f t="shared" si="0"/>
        <v>40.49</v>
      </c>
    </row>
    <row r="45" spans="1:13" ht="13">
      <c r="A45" s="8" t="s">
        <v>29</v>
      </c>
      <c r="B45" s="104" t="s">
        <v>52</v>
      </c>
      <c r="C45" s="104"/>
      <c r="D45" s="104"/>
      <c r="E45" s="104"/>
      <c r="F45" s="104"/>
      <c r="G45" s="104"/>
      <c r="H45" s="104"/>
      <c r="I45" s="15">
        <v>0.01</v>
      </c>
      <c r="J45" s="16">
        <f t="shared" si="0"/>
        <v>26.99</v>
      </c>
    </row>
    <row r="46" spans="1:13" ht="13">
      <c r="A46" s="8" t="s">
        <v>53</v>
      </c>
      <c r="B46" s="104" t="s">
        <v>54</v>
      </c>
      <c r="C46" s="104"/>
      <c r="D46" s="104"/>
      <c r="E46" s="104"/>
      <c r="F46" s="104"/>
      <c r="G46" s="104"/>
      <c r="H46" s="104"/>
      <c r="I46" s="15">
        <v>6.0000000000000001E-3</v>
      </c>
      <c r="J46" s="16">
        <f t="shared" si="0"/>
        <v>16.2</v>
      </c>
    </row>
    <row r="47" spans="1:13" ht="13">
      <c r="A47" s="8" t="s">
        <v>55</v>
      </c>
      <c r="B47" s="104" t="s">
        <v>56</v>
      </c>
      <c r="C47" s="104"/>
      <c r="D47" s="104"/>
      <c r="E47" s="104"/>
      <c r="F47" s="104"/>
      <c r="G47" s="104"/>
      <c r="H47" s="104"/>
      <c r="I47" s="15">
        <v>2E-3</v>
      </c>
      <c r="J47" s="16">
        <f t="shared" si="0"/>
        <v>5.4</v>
      </c>
    </row>
    <row r="48" spans="1:13" ht="13">
      <c r="A48" s="8" t="s">
        <v>57</v>
      </c>
      <c r="B48" s="104" t="s">
        <v>58</v>
      </c>
      <c r="C48" s="104"/>
      <c r="D48" s="104"/>
      <c r="E48" s="104"/>
      <c r="F48" s="104"/>
      <c r="G48" s="104"/>
      <c r="H48" s="104"/>
      <c r="I48" s="15">
        <v>0.08</v>
      </c>
      <c r="J48" s="16">
        <f t="shared" si="0"/>
        <v>215.94</v>
      </c>
    </row>
    <row r="49" spans="1:12" ht="13">
      <c r="A49" s="105" t="s">
        <v>40</v>
      </c>
      <c r="B49" s="105"/>
      <c r="C49" s="105"/>
      <c r="D49" s="105"/>
      <c r="E49" s="105"/>
      <c r="F49" s="105"/>
      <c r="G49" s="105"/>
      <c r="H49" s="105"/>
      <c r="I49" s="21">
        <f>SUM(I41:I48)</f>
        <v>0.34800000000000003</v>
      </c>
      <c r="J49" s="14">
        <f>SUM(J41:J48)</f>
        <v>939.34000000000015</v>
      </c>
    </row>
    <row r="50" spans="1:12" ht="13">
      <c r="A50" s="101"/>
      <c r="B50" s="101"/>
      <c r="C50" s="101"/>
      <c r="D50" s="101"/>
      <c r="E50" s="101"/>
      <c r="F50" s="101"/>
      <c r="G50" s="101"/>
      <c r="H50" s="101"/>
      <c r="I50" s="101"/>
      <c r="J50" s="101"/>
    </row>
    <row r="51" spans="1:12" ht="16.149999999999999" customHeight="1">
      <c r="A51" s="112" t="s">
        <v>59</v>
      </c>
      <c r="B51" s="112"/>
      <c r="C51" s="112"/>
      <c r="D51" s="112"/>
      <c r="E51" s="112"/>
      <c r="F51" s="112"/>
      <c r="G51" s="112"/>
      <c r="H51" s="112"/>
      <c r="I51" s="112"/>
      <c r="J51" s="112"/>
      <c r="L51" s="53"/>
    </row>
    <row r="52" spans="1:12" ht="16.149999999999999" customHeight="1">
      <c r="A52" s="63" t="s">
        <v>60</v>
      </c>
      <c r="B52" s="113" t="s">
        <v>61</v>
      </c>
      <c r="C52" s="113"/>
      <c r="D52" s="113"/>
      <c r="E52" s="113"/>
      <c r="F52" s="113"/>
      <c r="G52" s="113"/>
      <c r="H52" s="113"/>
      <c r="I52" s="113"/>
      <c r="J52" s="64" t="s">
        <v>37</v>
      </c>
    </row>
    <row r="53" spans="1:12" ht="13">
      <c r="A53" s="8" t="s">
        <v>5</v>
      </c>
      <c r="B53" s="104" t="s">
        <v>62</v>
      </c>
      <c r="C53" s="104"/>
      <c r="D53" s="104"/>
      <c r="E53" s="104"/>
      <c r="F53" s="104"/>
      <c r="G53" s="104"/>
      <c r="H53" s="104"/>
      <c r="I53" s="104"/>
      <c r="J53" s="16">
        <f>IF(ROUND((I56*I54*I55)-(J24*0.06),2)&lt;0,0,ROUND((I56*I54*I55)-(J24*0.06),2))</f>
        <v>104.16</v>
      </c>
    </row>
    <row r="54" spans="1:12" ht="13">
      <c r="A54" s="8"/>
      <c r="B54" s="121" t="s">
        <v>63</v>
      </c>
      <c r="C54" s="121"/>
      <c r="D54" s="121"/>
      <c r="E54" s="121"/>
      <c r="F54" s="121"/>
      <c r="G54" s="121"/>
      <c r="H54" s="121"/>
      <c r="I54" s="22">
        <v>4.8</v>
      </c>
      <c r="J54" s="51" t="s">
        <v>64</v>
      </c>
    </row>
    <row r="55" spans="1:12" ht="13">
      <c r="A55" s="8"/>
      <c r="B55" s="121" t="s">
        <v>65</v>
      </c>
      <c r="C55" s="121"/>
      <c r="D55" s="121"/>
      <c r="E55" s="121"/>
      <c r="F55" s="121"/>
      <c r="G55" s="121"/>
      <c r="H55" s="121"/>
      <c r="I55" s="23">
        <v>2</v>
      </c>
      <c r="J55" s="51"/>
    </row>
    <row r="56" spans="1:12" ht="13">
      <c r="A56" s="8"/>
      <c r="B56" s="121" t="s">
        <v>66</v>
      </c>
      <c r="C56" s="121"/>
      <c r="D56" s="121"/>
      <c r="E56" s="121"/>
      <c r="F56" s="121"/>
      <c r="G56" s="121"/>
      <c r="H56" s="121"/>
      <c r="I56" s="24">
        <v>26</v>
      </c>
      <c r="J56" s="51"/>
    </row>
    <row r="57" spans="1:12" ht="13">
      <c r="A57" s="8" t="s">
        <v>7</v>
      </c>
      <c r="B57" s="104" t="s">
        <v>67</v>
      </c>
      <c r="C57" s="104"/>
      <c r="D57" s="104"/>
      <c r="E57" s="104"/>
      <c r="F57" s="104"/>
      <c r="G57" s="104"/>
      <c r="H57" s="104"/>
      <c r="I57" s="104"/>
      <c r="J57" s="16">
        <f>ROUND((I58*I59)-(I59*I58*I60),2)</f>
        <v>212.5</v>
      </c>
    </row>
    <row r="58" spans="1:12" ht="13">
      <c r="A58" s="8"/>
      <c r="B58" s="121" t="s">
        <v>68</v>
      </c>
      <c r="C58" s="121"/>
      <c r="D58" s="121"/>
      <c r="E58" s="121"/>
      <c r="F58" s="121"/>
      <c r="G58" s="121"/>
      <c r="H58" s="121"/>
      <c r="I58" s="22">
        <v>10.09</v>
      </c>
      <c r="J58" s="51" t="s">
        <v>64</v>
      </c>
    </row>
    <row r="59" spans="1:12" ht="13">
      <c r="A59" s="25"/>
      <c r="B59" s="121" t="s">
        <v>69</v>
      </c>
      <c r="C59" s="121"/>
      <c r="D59" s="121"/>
      <c r="E59" s="121"/>
      <c r="F59" s="121"/>
      <c r="G59" s="121"/>
      <c r="H59" s="121"/>
      <c r="I59" s="26">
        <v>26</v>
      </c>
      <c r="J59" s="51"/>
    </row>
    <row r="60" spans="1:12" ht="13">
      <c r="A60" s="25"/>
      <c r="B60" s="121" t="s">
        <v>132</v>
      </c>
      <c r="C60" s="121"/>
      <c r="D60" s="121"/>
      <c r="E60" s="121"/>
      <c r="F60" s="121"/>
      <c r="G60" s="121"/>
      <c r="H60" s="121"/>
      <c r="I60" s="52">
        <v>0.19</v>
      </c>
      <c r="J60" s="51"/>
    </row>
    <row r="61" spans="1:12" ht="27.65" customHeight="1">
      <c r="A61" s="8" t="s">
        <v>9</v>
      </c>
      <c r="B61" s="122" t="s">
        <v>70</v>
      </c>
      <c r="C61" s="123"/>
      <c r="D61" s="123"/>
      <c r="E61" s="123"/>
      <c r="F61" s="123"/>
      <c r="G61" s="123"/>
      <c r="H61" s="123"/>
      <c r="I61" s="124"/>
      <c r="J61" s="27">
        <v>0</v>
      </c>
    </row>
    <row r="62" spans="1:12" ht="27.65" customHeight="1">
      <c r="A62" s="8" t="s">
        <v>12</v>
      </c>
      <c r="B62" s="122"/>
      <c r="C62" s="123"/>
      <c r="D62" s="123"/>
      <c r="E62" s="123"/>
      <c r="F62" s="123"/>
      <c r="G62" s="123"/>
      <c r="H62" s="123"/>
      <c r="I62" s="124"/>
      <c r="J62" s="27"/>
      <c r="L62" s="50"/>
    </row>
    <row r="63" spans="1:12" ht="27.65" customHeight="1">
      <c r="A63" s="8" t="s">
        <v>12</v>
      </c>
      <c r="B63" s="122" t="s">
        <v>186</v>
      </c>
      <c r="C63" s="123"/>
      <c r="D63" s="123"/>
      <c r="E63" s="123"/>
      <c r="F63" s="123"/>
      <c r="G63" s="123"/>
      <c r="H63" s="123"/>
      <c r="I63" s="124"/>
      <c r="J63" s="27">
        <v>17.32</v>
      </c>
      <c r="L63" s="50"/>
    </row>
    <row r="64" spans="1:12" ht="13">
      <c r="A64" s="125" t="s">
        <v>32</v>
      </c>
      <c r="B64" s="126"/>
      <c r="C64" s="126"/>
      <c r="D64" s="126"/>
      <c r="E64" s="126"/>
      <c r="F64" s="126"/>
      <c r="G64" s="126"/>
      <c r="H64" s="126"/>
      <c r="I64" s="127"/>
      <c r="J64" s="14">
        <f>SUM(J53:J63)</f>
        <v>333.97999999999996</v>
      </c>
      <c r="L64" s="50"/>
    </row>
    <row r="65" spans="1:12" ht="13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L65" s="50"/>
    </row>
    <row r="66" spans="1:12" ht="16.149999999999999" customHeight="1">
      <c r="A66" s="112" t="s">
        <v>71</v>
      </c>
      <c r="B66" s="112"/>
      <c r="C66" s="112"/>
      <c r="D66" s="112"/>
      <c r="E66" s="112"/>
      <c r="F66" s="112"/>
      <c r="G66" s="112"/>
      <c r="H66" s="112"/>
      <c r="I66" s="112"/>
      <c r="J66" s="112"/>
      <c r="L66" s="50"/>
    </row>
    <row r="67" spans="1:12" ht="16.149999999999999" customHeight="1">
      <c r="A67" s="64">
        <v>2</v>
      </c>
      <c r="B67" s="115" t="s">
        <v>72</v>
      </c>
      <c r="C67" s="115"/>
      <c r="D67" s="115"/>
      <c r="E67" s="115"/>
      <c r="F67" s="115"/>
      <c r="G67" s="115"/>
      <c r="H67" s="115"/>
      <c r="I67" s="115"/>
      <c r="J67" s="64" t="s">
        <v>37</v>
      </c>
      <c r="L67" s="50"/>
    </row>
    <row r="68" spans="1:12" ht="14.65" customHeight="1">
      <c r="A68" s="1" t="s">
        <v>35</v>
      </c>
      <c r="B68" s="1"/>
      <c r="C68" s="109" t="s">
        <v>73</v>
      </c>
      <c r="D68" s="109"/>
      <c r="E68" s="109"/>
      <c r="F68" s="109"/>
      <c r="G68" s="109"/>
      <c r="H68" s="109"/>
      <c r="I68" s="109"/>
      <c r="J68" s="28">
        <f>J37</f>
        <v>275.25</v>
      </c>
      <c r="L68" s="50"/>
    </row>
    <row r="69" spans="1:12" ht="14.65" customHeight="1">
      <c r="A69" s="1" t="s">
        <v>42</v>
      </c>
      <c r="B69" s="1"/>
      <c r="C69" s="109" t="s">
        <v>43</v>
      </c>
      <c r="D69" s="109"/>
      <c r="E69" s="109"/>
      <c r="F69" s="109"/>
      <c r="G69" s="109"/>
      <c r="H69" s="109"/>
      <c r="I69" s="109"/>
      <c r="J69" s="28">
        <f>J49</f>
        <v>939.34000000000015</v>
      </c>
      <c r="L69" s="50"/>
    </row>
    <row r="70" spans="1:12" ht="14.65" customHeight="1">
      <c r="A70" s="1" t="s">
        <v>60</v>
      </c>
      <c r="B70" s="1"/>
      <c r="C70" s="109" t="s">
        <v>61</v>
      </c>
      <c r="D70" s="109"/>
      <c r="E70" s="109"/>
      <c r="F70" s="109"/>
      <c r="G70" s="109"/>
      <c r="H70" s="109"/>
      <c r="I70" s="109"/>
      <c r="J70" s="28">
        <f>J64</f>
        <v>333.97999999999996</v>
      </c>
      <c r="L70" s="50"/>
    </row>
    <row r="71" spans="1:12" ht="14.65" customHeight="1">
      <c r="A71" s="116" t="s">
        <v>40</v>
      </c>
      <c r="B71" s="116"/>
      <c r="C71" s="116"/>
      <c r="D71" s="116"/>
      <c r="E71" s="116"/>
      <c r="F71" s="116"/>
      <c r="G71" s="116"/>
      <c r="H71" s="116"/>
      <c r="I71" s="116"/>
      <c r="J71" s="29">
        <f>SUM(J68+J69+J70)</f>
        <v>1548.5700000000002</v>
      </c>
    </row>
    <row r="72" spans="1:12" ht="13">
      <c r="A72" s="101"/>
      <c r="B72" s="101"/>
      <c r="C72" s="101"/>
      <c r="D72" s="101"/>
      <c r="E72" s="101"/>
      <c r="F72" s="101"/>
      <c r="G72" s="101"/>
      <c r="H72" s="101"/>
      <c r="I72" s="101"/>
      <c r="J72" s="101"/>
    </row>
    <row r="73" spans="1:12" ht="16.149999999999999" customHeight="1">
      <c r="A73" s="112" t="s">
        <v>74</v>
      </c>
      <c r="B73" s="112"/>
      <c r="C73" s="112"/>
      <c r="D73" s="112"/>
      <c r="E73" s="112"/>
      <c r="F73" s="112"/>
      <c r="G73" s="112"/>
      <c r="H73" s="112"/>
      <c r="I73" s="112"/>
      <c r="J73" s="112"/>
    </row>
    <row r="74" spans="1:12" ht="16.149999999999999" customHeight="1">
      <c r="A74" s="63">
        <v>3</v>
      </c>
      <c r="B74" s="115" t="s">
        <v>75</v>
      </c>
      <c r="C74" s="115"/>
      <c r="D74" s="115"/>
      <c r="E74" s="115"/>
      <c r="F74" s="115"/>
      <c r="G74" s="115"/>
      <c r="H74" s="115"/>
      <c r="I74" s="115"/>
      <c r="J74" s="63" t="s">
        <v>76</v>
      </c>
    </row>
    <row r="75" spans="1:12" ht="46.5" customHeight="1">
      <c r="A75" s="8" t="s">
        <v>5</v>
      </c>
      <c r="B75" s="109" t="s">
        <v>135</v>
      </c>
      <c r="C75" s="109"/>
      <c r="D75" s="109"/>
      <c r="E75" s="109"/>
      <c r="F75" s="109"/>
      <c r="G75" s="109"/>
      <c r="H75" s="109"/>
      <c r="I75" s="109"/>
      <c r="J75" s="16">
        <f>ROUND(((J30)+(J35)+(J30/12)+(J36))/12*0.01,2)</f>
        <v>2.42</v>
      </c>
      <c r="L75" s="50"/>
    </row>
    <row r="76" spans="1:12" ht="14.65" customHeight="1">
      <c r="A76" s="8" t="s">
        <v>7</v>
      </c>
      <c r="B76" s="109" t="s">
        <v>77</v>
      </c>
      <c r="C76" s="109"/>
      <c r="D76" s="109"/>
      <c r="E76" s="109"/>
      <c r="F76" s="109"/>
      <c r="G76" s="109"/>
      <c r="H76" s="109"/>
      <c r="I76" s="109"/>
      <c r="J76" s="16">
        <f>ROUND($J$75*I48,2)</f>
        <v>0.19</v>
      </c>
    </row>
    <row r="77" spans="1:12" ht="36.25" customHeight="1">
      <c r="A77" s="8" t="s">
        <v>9</v>
      </c>
      <c r="B77" s="109" t="s">
        <v>136</v>
      </c>
      <c r="C77" s="109"/>
      <c r="D77" s="109"/>
      <c r="E77" s="109"/>
      <c r="F77" s="109"/>
      <c r="G77" s="109"/>
      <c r="H77" s="109"/>
      <c r="I77" s="30">
        <v>2.3999999999999998E-3</v>
      </c>
      <c r="J77" s="16">
        <f>ROUND($J$30*I77,2)</f>
        <v>5.82</v>
      </c>
    </row>
    <row r="78" spans="1:12" ht="34.5" customHeight="1">
      <c r="A78" s="8" t="s">
        <v>12</v>
      </c>
      <c r="B78" s="109" t="s">
        <v>138</v>
      </c>
      <c r="C78" s="109"/>
      <c r="D78" s="109"/>
      <c r="E78" s="109"/>
      <c r="F78" s="109"/>
      <c r="G78" s="109"/>
      <c r="H78" s="109"/>
      <c r="I78" s="109"/>
      <c r="J78" s="16">
        <f>J30/30*7/12*0.05</f>
        <v>2.3566666666666669</v>
      </c>
    </row>
    <row r="79" spans="1:12" ht="14.65" customHeight="1">
      <c r="A79" s="8" t="s">
        <v>29</v>
      </c>
      <c r="B79" s="109" t="s">
        <v>78</v>
      </c>
      <c r="C79" s="109"/>
      <c r="D79" s="109"/>
      <c r="E79" s="109"/>
      <c r="F79" s="109"/>
      <c r="G79" s="109"/>
      <c r="H79" s="109"/>
      <c r="I79" s="109"/>
      <c r="J79" s="16">
        <f>ROUND($I$49*J78,2)</f>
        <v>0.82</v>
      </c>
    </row>
    <row r="80" spans="1:12" ht="36.25" customHeight="1">
      <c r="A80" s="8" t="s">
        <v>53</v>
      </c>
      <c r="B80" s="109" t="s">
        <v>137</v>
      </c>
      <c r="C80" s="109"/>
      <c r="D80" s="109"/>
      <c r="E80" s="109"/>
      <c r="F80" s="109"/>
      <c r="G80" s="109"/>
      <c r="H80" s="109"/>
      <c r="I80" s="30">
        <v>3.7600000000000001E-2</v>
      </c>
      <c r="J80" s="16">
        <f>ROUND($J$30*I80,2)</f>
        <v>91.14</v>
      </c>
    </row>
    <row r="81" spans="1:10" ht="13">
      <c r="A81" s="105" t="s">
        <v>40</v>
      </c>
      <c r="B81" s="105"/>
      <c r="C81" s="105"/>
      <c r="D81" s="105"/>
      <c r="E81" s="105"/>
      <c r="F81" s="105"/>
      <c r="G81" s="105"/>
      <c r="H81" s="105"/>
      <c r="I81" s="105"/>
      <c r="J81" s="14">
        <f>SUM(J75:J80)</f>
        <v>102.74666666666667</v>
      </c>
    </row>
    <row r="82" spans="1:10" ht="13">
      <c r="A82" s="101"/>
      <c r="B82" s="101"/>
      <c r="C82" s="101"/>
      <c r="D82" s="101"/>
      <c r="E82" s="101"/>
      <c r="F82" s="101"/>
      <c r="G82" s="101"/>
      <c r="H82" s="101"/>
      <c r="I82" s="101"/>
      <c r="J82" s="101"/>
    </row>
    <row r="83" spans="1:10" ht="16.149999999999999" customHeight="1">
      <c r="A83" s="112" t="s">
        <v>79</v>
      </c>
      <c r="B83" s="112"/>
      <c r="C83" s="112"/>
      <c r="D83" s="112"/>
      <c r="E83" s="112"/>
      <c r="F83" s="112"/>
      <c r="G83" s="112"/>
      <c r="H83" s="112"/>
      <c r="I83" s="112"/>
      <c r="J83" s="112"/>
    </row>
    <row r="84" spans="1:10" ht="15" customHeight="1">
      <c r="A84" s="119" t="s">
        <v>80</v>
      </c>
      <c r="B84" s="119"/>
      <c r="C84" s="119"/>
      <c r="D84" s="119"/>
      <c r="E84" s="119"/>
      <c r="F84" s="119"/>
      <c r="G84" s="119"/>
      <c r="H84" s="119"/>
      <c r="I84" s="119"/>
      <c r="J84" s="31">
        <f>J87+J30+J35+J36</f>
        <v>2919.23</v>
      </c>
    </row>
    <row r="85" spans="1:10" ht="14.65" customHeight="1">
      <c r="A85" s="120"/>
      <c r="B85" s="120"/>
      <c r="C85" s="120"/>
      <c r="D85" s="120"/>
      <c r="E85" s="120"/>
      <c r="F85" s="120"/>
      <c r="G85" s="120"/>
      <c r="H85" s="120"/>
      <c r="I85" s="120"/>
      <c r="J85" s="120"/>
    </row>
    <row r="86" spans="1:10" ht="14">
      <c r="A86" s="32" t="s">
        <v>81</v>
      </c>
      <c r="B86" s="113" t="s">
        <v>82</v>
      </c>
      <c r="C86" s="113"/>
      <c r="D86" s="113"/>
      <c r="E86" s="113"/>
      <c r="F86" s="113"/>
      <c r="G86" s="113"/>
      <c r="H86" s="113"/>
      <c r="I86" s="113"/>
      <c r="J86" s="32" t="s">
        <v>37</v>
      </c>
    </row>
    <row r="87" spans="1:10" ht="12.75" customHeight="1">
      <c r="A87" s="12" t="s">
        <v>5</v>
      </c>
      <c r="B87" s="109" t="s">
        <v>83</v>
      </c>
      <c r="C87" s="109"/>
      <c r="D87" s="109"/>
      <c r="E87" s="109"/>
      <c r="F87" s="109"/>
      <c r="G87" s="109"/>
      <c r="H87" s="109"/>
      <c r="I87" s="33">
        <f>12.1%-I36</f>
        <v>9.0749999999999997E-2</v>
      </c>
      <c r="J87" s="16">
        <f>ROUND(($J$30*I87),2)</f>
        <v>219.98</v>
      </c>
    </row>
    <row r="88" spans="1:10" ht="13">
      <c r="A88" s="12" t="s">
        <v>7</v>
      </c>
      <c r="B88" s="104" t="s">
        <v>131</v>
      </c>
      <c r="C88" s="104"/>
      <c r="D88" s="104"/>
      <c r="E88" s="104"/>
      <c r="F88" s="104"/>
      <c r="G88" s="104"/>
      <c r="H88" s="104"/>
      <c r="I88" s="104"/>
      <c r="J88" s="34">
        <f>J84/30*0.1/12</f>
        <v>0.81089722222222227</v>
      </c>
    </row>
    <row r="89" spans="1:10" ht="13">
      <c r="A89" s="12" t="s">
        <v>9</v>
      </c>
      <c r="B89" s="104" t="s">
        <v>84</v>
      </c>
      <c r="C89" s="104"/>
      <c r="D89" s="104"/>
      <c r="E89" s="104"/>
      <c r="F89" s="104"/>
      <c r="G89" s="104"/>
      <c r="H89" s="104"/>
      <c r="I89" s="104"/>
      <c r="J89" s="34">
        <f>J84/30*5/12*1.5%</f>
        <v>0.60817291666666662</v>
      </c>
    </row>
    <row r="90" spans="1:10" ht="13">
      <c r="A90" s="12" t="s">
        <v>12</v>
      </c>
      <c r="B90" s="104" t="s">
        <v>85</v>
      </c>
      <c r="C90" s="104"/>
      <c r="D90" s="104"/>
      <c r="E90" s="104"/>
      <c r="F90" s="104"/>
      <c r="G90" s="104"/>
      <c r="H90" s="104"/>
      <c r="I90" s="104"/>
      <c r="J90" s="13">
        <f>J84/30*15/12*0.78%</f>
        <v>0.94874975000000006</v>
      </c>
    </row>
    <row r="91" spans="1:10" ht="13">
      <c r="A91" s="12" t="s">
        <v>29</v>
      </c>
      <c r="B91" s="104" t="s">
        <v>86</v>
      </c>
      <c r="C91" s="104"/>
      <c r="D91" s="104"/>
      <c r="E91" s="104"/>
      <c r="F91" s="104"/>
      <c r="G91" s="104"/>
      <c r="H91" s="104"/>
      <c r="I91" s="104"/>
      <c r="J91" s="16">
        <f>(J30+J36)/12*4/12*1%</f>
        <v>0.69370277777777778</v>
      </c>
    </row>
    <row r="92" spans="1:10" ht="13">
      <c r="A92" s="35" t="s">
        <v>53</v>
      </c>
      <c r="B92" s="118" t="s">
        <v>87</v>
      </c>
      <c r="C92" s="118"/>
      <c r="D92" s="118"/>
      <c r="E92" s="118"/>
      <c r="F92" s="118"/>
      <c r="G92" s="118"/>
      <c r="H92" s="118"/>
      <c r="I92" s="118"/>
      <c r="J92" s="13">
        <f>J84/30*0.15/12</f>
        <v>1.2163458333333332</v>
      </c>
    </row>
    <row r="93" spans="1:10" ht="13">
      <c r="A93" s="105" t="s">
        <v>40</v>
      </c>
      <c r="B93" s="105"/>
      <c r="C93" s="105"/>
      <c r="D93" s="105"/>
      <c r="E93" s="105"/>
      <c r="F93" s="105"/>
      <c r="G93" s="105"/>
      <c r="H93" s="105"/>
      <c r="I93" s="105"/>
      <c r="J93" s="36">
        <f>SUM(J87:J92)</f>
        <v>224.25786849999997</v>
      </c>
    </row>
    <row r="94" spans="1:10" ht="14.65" customHeight="1">
      <c r="A94" s="12"/>
      <c r="B94" s="104"/>
      <c r="C94" s="104"/>
      <c r="D94" s="104"/>
      <c r="E94" s="104"/>
      <c r="F94" s="104"/>
      <c r="G94" s="104"/>
      <c r="H94" s="104"/>
      <c r="I94" s="104"/>
      <c r="J94" s="13"/>
    </row>
    <row r="95" spans="1:10" ht="13">
      <c r="A95" s="105" t="s">
        <v>40</v>
      </c>
      <c r="B95" s="105"/>
      <c r="C95" s="105"/>
      <c r="D95" s="105"/>
      <c r="E95" s="105"/>
      <c r="F95" s="105"/>
      <c r="G95" s="105"/>
      <c r="H95" s="105"/>
      <c r="I95" s="105"/>
      <c r="J95" s="14">
        <f>SUM(J93:J94)</f>
        <v>224.25786849999997</v>
      </c>
    </row>
    <row r="96" spans="1:10" ht="16.149999999999999" customHeight="1">
      <c r="A96" s="112" t="s">
        <v>88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14">
      <c r="A97" s="63" t="s">
        <v>89</v>
      </c>
      <c r="B97" s="113" t="s">
        <v>90</v>
      </c>
      <c r="C97" s="113"/>
      <c r="D97" s="113"/>
      <c r="E97" s="113"/>
      <c r="F97" s="113"/>
      <c r="G97" s="113"/>
      <c r="H97" s="113"/>
      <c r="I97" s="113"/>
      <c r="J97" s="37" t="s">
        <v>37</v>
      </c>
    </row>
    <row r="98" spans="1:10" ht="13">
      <c r="A98" s="8" t="s">
        <v>5</v>
      </c>
      <c r="B98" s="104" t="s">
        <v>91</v>
      </c>
      <c r="C98" s="104"/>
      <c r="D98" s="104"/>
      <c r="E98" s="104"/>
      <c r="F98" s="104"/>
      <c r="G98" s="104"/>
      <c r="H98" s="104"/>
      <c r="I98" s="104"/>
      <c r="J98" s="16">
        <v>0</v>
      </c>
    </row>
    <row r="99" spans="1:10" ht="13">
      <c r="A99" s="117" t="s">
        <v>40</v>
      </c>
      <c r="B99" s="117"/>
      <c r="C99" s="117"/>
      <c r="D99" s="117"/>
      <c r="E99" s="117"/>
      <c r="F99" s="117"/>
      <c r="G99" s="117"/>
      <c r="H99" s="117"/>
      <c r="I99" s="117"/>
      <c r="J99" s="16">
        <v>0</v>
      </c>
    </row>
    <row r="100" spans="1:10" ht="13">
      <c r="A100" s="12"/>
      <c r="B100" s="104"/>
      <c r="C100" s="104"/>
      <c r="D100" s="104"/>
      <c r="E100" s="104"/>
      <c r="F100" s="104"/>
      <c r="G100" s="104"/>
      <c r="H100" s="104"/>
      <c r="I100" s="104"/>
      <c r="J100" s="13"/>
    </row>
    <row r="101" spans="1:10" ht="13">
      <c r="A101" s="105" t="s">
        <v>40</v>
      </c>
      <c r="B101" s="105"/>
      <c r="C101" s="105"/>
      <c r="D101" s="105"/>
      <c r="E101" s="105"/>
      <c r="F101" s="105"/>
      <c r="G101" s="105"/>
      <c r="H101" s="105"/>
      <c r="I101" s="105"/>
      <c r="J101" s="14">
        <f>SUM(J99:J100)</f>
        <v>0</v>
      </c>
    </row>
    <row r="102" spans="1:10" ht="13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</row>
    <row r="103" spans="1:10" ht="16.149999999999999" customHeight="1">
      <c r="A103" s="112" t="s">
        <v>92</v>
      </c>
      <c r="B103" s="112"/>
      <c r="C103" s="112"/>
      <c r="D103" s="112"/>
      <c r="E103" s="112"/>
      <c r="F103" s="112"/>
      <c r="G103" s="112"/>
      <c r="H103" s="112"/>
      <c r="I103" s="112"/>
      <c r="J103" s="112"/>
    </row>
    <row r="104" spans="1:10" ht="16.149999999999999" customHeight="1">
      <c r="A104" s="64">
        <v>4</v>
      </c>
      <c r="B104" s="115" t="s">
        <v>93</v>
      </c>
      <c r="C104" s="115"/>
      <c r="D104" s="115"/>
      <c r="E104" s="115"/>
      <c r="F104" s="115"/>
      <c r="G104" s="115"/>
      <c r="H104" s="115"/>
      <c r="I104" s="115"/>
      <c r="J104" s="37" t="s">
        <v>37</v>
      </c>
    </row>
    <row r="105" spans="1:10" ht="14.65" customHeight="1">
      <c r="A105" s="1" t="s">
        <v>81</v>
      </c>
      <c r="B105" s="109" t="s">
        <v>94</v>
      </c>
      <c r="C105" s="109"/>
      <c r="D105" s="109"/>
      <c r="E105" s="109"/>
      <c r="F105" s="109"/>
      <c r="G105" s="109"/>
      <c r="H105" s="109"/>
      <c r="I105" s="109"/>
      <c r="J105" s="16">
        <f>J95</f>
        <v>224.25786849999997</v>
      </c>
    </row>
    <row r="106" spans="1:10" ht="14.65" customHeight="1">
      <c r="A106" s="1" t="s">
        <v>95</v>
      </c>
      <c r="B106" s="109" t="s">
        <v>96</v>
      </c>
      <c r="C106" s="109"/>
      <c r="D106" s="109"/>
      <c r="E106" s="109"/>
      <c r="F106" s="109"/>
      <c r="G106" s="109"/>
      <c r="H106" s="109"/>
      <c r="I106" s="109"/>
      <c r="J106" s="16">
        <f>J101</f>
        <v>0</v>
      </c>
    </row>
    <row r="107" spans="1:10" ht="14.65" customHeight="1">
      <c r="A107" s="116" t="s">
        <v>40</v>
      </c>
      <c r="B107" s="116"/>
      <c r="C107" s="116"/>
      <c r="D107" s="116"/>
      <c r="E107" s="116"/>
      <c r="F107" s="116"/>
      <c r="G107" s="116"/>
      <c r="H107" s="116"/>
      <c r="I107" s="116"/>
      <c r="J107" s="14">
        <f>SUM(J105+J106)</f>
        <v>224.25786849999997</v>
      </c>
    </row>
    <row r="108" spans="1:10" ht="13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</row>
    <row r="109" spans="1:10" ht="16.149999999999999" customHeight="1">
      <c r="A109" s="112" t="s">
        <v>97</v>
      </c>
      <c r="B109" s="112"/>
      <c r="C109" s="112"/>
      <c r="D109" s="112"/>
      <c r="E109" s="112"/>
      <c r="F109" s="112"/>
      <c r="G109" s="112"/>
      <c r="H109" s="112"/>
      <c r="I109" s="112"/>
      <c r="J109" s="112"/>
    </row>
    <row r="110" spans="1:10" ht="16.149999999999999" customHeight="1">
      <c r="A110" s="63">
        <v>5</v>
      </c>
      <c r="B110" s="113" t="s">
        <v>98</v>
      </c>
      <c r="C110" s="113"/>
      <c r="D110" s="113"/>
      <c r="E110" s="113"/>
      <c r="F110" s="113"/>
      <c r="G110" s="113"/>
      <c r="H110" s="113"/>
      <c r="I110" s="113"/>
      <c r="J110" s="63" t="s">
        <v>37</v>
      </c>
    </row>
    <row r="111" spans="1:10" ht="13">
      <c r="A111" s="8" t="s">
        <v>5</v>
      </c>
      <c r="B111" s="104" t="s">
        <v>185</v>
      </c>
      <c r="C111" s="104"/>
      <c r="D111" s="104"/>
      <c r="E111" s="104"/>
      <c r="F111" s="104"/>
      <c r="G111" s="104"/>
      <c r="H111" s="104"/>
      <c r="I111" s="104"/>
      <c r="J111" s="16">
        <f>Descritivo!E48</f>
        <v>91.369065656565652</v>
      </c>
    </row>
    <row r="112" spans="1:10" ht="13">
      <c r="A112" s="8" t="s">
        <v>7</v>
      </c>
      <c r="B112" s="104" t="s">
        <v>99</v>
      </c>
      <c r="C112" s="104"/>
      <c r="D112" s="104"/>
      <c r="E112" s="104"/>
      <c r="F112" s="104"/>
      <c r="G112" s="104"/>
      <c r="H112" s="104"/>
      <c r="I112" s="104"/>
      <c r="J112" s="27">
        <f>Descritivo!D93</f>
        <v>116.16919191919192</v>
      </c>
    </row>
    <row r="113" spans="1:10" ht="13">
      <c r="A113" s="8" t="s">
        <v>9</v>
      </c>
      <c r="B113" s="104" t="s">
        <v>139</v>
      </c>
      <c r="C113" s="104"/>
      <c r="D113" s="104"/>
      <c r="E113" s="104"/>
      <c r="F113" s="104"/>
      <c r="G113" s="104"/>
      <c r="H113" s="104"/>
      <c r="I113" s="104"/>
      <c r="J113" s="27">
        <f>Descritivo!C101</f>
        <v>36.363636363636367</v>
      </c>
    </row>
    <row r="114" spans="1:10" ht="13">
      <c r="A114" s="8" t="s">
        <v>12</v>
      </c>
      <c r="B114" s="104" t="s">
        <v>100</v>
      </c>
      <c r="C114" s="104"/>
      <c r="D114" s="104"/>
      <c r="E114" s="104"/>
      <c r="F114" s="104"/>
      <c r="G114" s="104"/>
      <c r="H114" s="104"/>
      <c r="I114" s="104"/>
      <c r="J114" s="27"/>
    </row>
    <row r="115" spans="1:10" ht="13">
      <c r="A115" s="105" t="s">
        <v>32</v>
      </c>
      <c r="B115" s="105"/>
      <c r="C115" s="105"/>
      <c r="D115" s="105"/>
      <c r="E115" s="105"/>
      <c r="F115" s="105"/>
      <c r="G115" s="105"/>
      <c r="H115" s="105"/>
      <c r="I115" s="105"/>
      <c r="J115" s="38">
        <f>SUM(J111:J114)</f>
        <v>243.90189393939394</v>
      </c>
    </row>
    <row r="116" spans="1:10" ht="13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</row>
    <row r="117" spans="1:10" ht="16.149999999999999" customHeight="1">
      <c r="A117" s="112" t="s">
        <v>101</v>
      </c>
      <c r="B117" s="112"/>
      <c r="C117" s="112"/>
      <c r="D117" s="112"/>
      <c r="E117" s="112"/>
      <c r="F117" s="112"/>
      <c r="G117" s="112"/>
      <c r="H117" s="112"/>
      <c r="I117" s="112"/>
      <c r="J117" s="112"/>
    </row>
    <row r="118" spans="1:10" ht="28">
      <c r="A118" s="63">
        <v>6</v>
      </c>
      <c r="B118" s="113" t="s">
        <v>102</v>
      </c>
      <c r="C118" s="113"/>
      <c r="D118" s="113"/>
      <c r="E118" s="113"/>
      <c r="F118" s="113"/>
      <c r="G118" s="113"/>
      <c r="H118" s="113"/>
      <c r="I118" s="64" t="s">
        <v>44</v>
      </c>
      <c r="J118" s="39" t="s">
        <v>103</v>
      </c>
    </row>
    <row r="119" spans="1:10" ht="12.75" customHeight="1">
      <c r="A119" s="111" t="s">
        <v>104</v>
      </c>
      <c r="B119" s="111"/>
      <c r="C119" s="111"/>
      <c r="D119" s="111"/>
      <c r="E119" s="111"/>
      <c r="F119" s="111"/>
      <c r="G119" s="111"/>
      <c r="H119" s="111"/>
      <c r="I119" s="40" t="s">
        <v>64</v>
      </c>
      <c r="J119" s="41">
        <f>SUM(J30+J71+J81+J107+J115)</f>
        <v>4543.4764291060601</v>
      </c>
    </row>
    <row r="120" spans="1:10" ht="15.5">
      <c r="A120" s="42" t="s">
        <v>5</v>
      </c>
      <c r="B120" s="110" t="s">
        <v>105</v>
      </c>
      <c r="C120" s="110"/>
      <c r="D120" s="110"/>
      <c r="E120" s="110"/>
      <c r="F120" s="110"/>
      <c r="G120" s="110"/>
      <c r="H120" s="110"/>
      <c r="I120" s="15">
        <v>0.1091</v>
      </c>
      <c r="J120" s="16">
        <f>ROUND(I120*J119,2)</f>
        <v>495.69</v>
      </c>
    </row>
    <row r="121" spans="1:10" ht="12.75" customHeight="1">
      <c r="A121" s="111" t="s">
        <v>106</v>
      </c>
      <c r="B121" s="111"/>
      <c r="C121" s="111"/>
      <c r="D121" s="111"/>
      <c r="E121" s="111"/>
      <c r="F121" s="111"/>
      <c r="G121" s="111"/>
      <c r="H121" s="111"/>
      <c r="I121" s="43" t="s">
        <v>64</v>
      </c>
      <c r="J121" s="41">
        <f>SUM(J30+J71+J81+J107+J115+J120)</f>
        <v>5039.1664291060597</v>
      </c>
    </row>
    <row r="122" spans="1:10" ht="15.5">
      <c r="A122" s="42" t="s">
        <v>7</v>
      </c>
      <c r="B122" s="110" t="s">
        <v>107</v>
      </c>
      <c r="C122" s="110"/>
      <c r="D122" s="110"/>
      <c r="E122" s="110"/>
      <c r="F122" s="110"/>
      <c r="G122" s="110"/>
      <c r="H122" s="110"/>
      <c r="I122" s="20">
        <v>0.15109700000000001</v>
      </c>
      <c r="J122" s="16">
        <f>ROUND(I122*J121,2)</f>
        <v>761.4</v>
      </c>
    </row>
    <row r="123" spans="1:10" ht="12.75" customHeight="1">
      <c r="A123" s="111" t="s">
        <v>108</v>
      </c>
      <c r="B123" s="111"/>
      <c r="C123" s="111"/>
      <c r="D123" s="111"/>
      <c r="E123" s="111"/>
      <c r="F123" s="111"/>
      <c r="G123" s="111"/>
      <c r="H123" s="111"/>
      <c r="I123" s="43" t="s">
        <v>64</v>
      </c>
      <c r="J123" s="41">
        <f>SUM(J30+J71+J81+J107+J115+J120+J122)</f>
        <v>5800.5664291060593</v>
      </c>
    </row>
    <row r="124" spans="1:10" ht="15.5">
      <c r="A124" s="42" t="s">
        <v>9</v>
      </c>
      <c r="B124" s="110" t="s">
        <v>109</v>
      </c>
      <c r="C124" s="110"/>
      <c r="D124" s="110"/>
      <c r="E124" s="110"/>
      <c r="F124" s="110"/>
      <c r="G124" s="110"/>
      <c r="H124" s="110"/>
      <c r="I124" s="9" t="s">
        <v>64</v>
      </c>
      <c r="J124" s="51" t="s">
        <v>64</v>
      </c>
    </row>
    <row r="125" spans="1:10" ht="13">
      <c r="A125" s="8"/>
      <c r="B125" s="104" t="s">
        <v>110</v>
      </c>
      <c r="C125" s="104"/>
      <c r="D125" s="104"/>
      <c r="E125" s="104"/>
      <c r="F125" s="104"/>
      <c r="G125" s="104"/>
      <c r="H125" s="104"/>
      <c r="I125" s="9" t="s">
        <v>64</v>
      </c>
      <c r="J125" s="51" t="s">
        <v>64</v>
      </c>
    </row>
    <row r="126" spans="1:10" ht="13">
      <c r="A126" s="8"/>
      <c r="B126" s="104" t="s">
        <v>111</v>
      </c>
      <c r="C126" s="104"/>
      <c r="D126" s="104"/>
      <c r="E126" s="104"/>
      <c r="F126" s="104"/>
      <c r="G126" s="104"/>
      <c r="H126" s="104"/>
      <c r="I126" s="44">
        <v>0.03</v>
      </c>
      <c r="J126" s="16">
        <f>ROUND(($J$123/(1-$I$135))*I126,2)</f>
        <v>190.49</v>
      </c>
    </row>
    <row r="127" spans="1:10" ht="13">
      <c r="A127" s="8"/>
      <c r="B127" s="104" t="s">
        <v>112</v>
      </c>
      <c r="C127" s="104"/>
      <c r="D127" s="104"/>
      <c r="E127" s="104"/>
      <c r="F127" s="104"/>
      <c r="G127" s="104"/>
      <c r="H127" s="104"/>
      <c r="I127" s="44">
        <v>6.4999999999999997E-3</v>
      </c>
      <c r="J127" s="16">
        <f>ROUND(($J$123/(1-$I$135))*I127,2)</f>
        <v>41.27</v>
      </c>
    </row>
    <row r="128" spans="1:10" ht="27.65" customHeight="1">
      <c r="A128" s="8"/>
      <c r="B128" s="109" t="s">
        <v>113</v>
      </c>
      <c r="C128" s="109"/>
      <c r="D128" s="109"/>
      <c r="E128" s="109"/>
      <c r="F128" s="109"/>
      <c r="G128" s="109"/>
      <c r="H128" s="109"/>
      <c r="I128" s="45" t="s">
        <v>64</v>
      </c>
      <c r="J128" s="51" t="s">
        <v>64</v>
      </c>
    </row>
    <row r="129" spans="1:10" ht="27.65" customHeight="1">
      <c r="A129" s="8"/>
      <c r="B129" s="109" t="s">
        <v>114</v>
      </c>
      <c r="C129" s="109"/>
      <c r="D129" s="109"/>
      <c r="E129" s="109"/>
      <c r="F129" s="109"/>
      <c r="G129" s="109"/>
      <c r="H129" s="109"/>
      <c r="I129" s="45" t="s">
        <v>64</v>
      </c>
      <c r="J129" s="51" t="s">
        <v>64</v>
      </c>
    </row>
    <row r="130" spans="1:10" ht="13">
      <c r="A130" s="8"/>
      <c r="B130" s="104" t="s">
        <v>115</v>
      </c>
      <c r="C130" s="104"/>
      <c r="D130" s="104"/>
      <c r="E130" s="104"/>
      <c r="F130" s="104"/>
      <c r="G130" s="104"/>
      <c r="H130" s="104"/>
      <c r="I130" s="45" t="s">
        <v>64</v>
      </c>
      <c r="J130" s="51" t="s">
        <v>64</v>
      </c>
    </row>
    <row r="131" spans="1:10" ht="13">
      <c r="A131" s="8"/>
      <c r="B131" s="104" t="s">
        <v>116</v>
      </c>
      <c r="C131" s="104"/>
      <c r="D131" s="104"/>
      <c r="E131" s="104"/>
      <c r="F131" s="104"/>
      <c r="G131" s="104"/>
      <c r="H131" s="104"/>
      <c r="I131" s="45" t="s">
        <v>64</v>
      </c>
      <c r="J131" s="51" t="s">
        <v>64</v>
      </c>
    </row>
    <row r="132" spans="1:10" ht="13">
      <c r="A132" s="8"/>
      <c r="B132" s="104" t="s">
        <v>134</v>
      </c>
      <c r="C132" s="104"/>
      <c r="D132" s="104"/>
      <c r="E132" s="104"/>
      <c r="F132" s="104"/>
      <c r="G132" s="104"/>
      <c r="H132" s="104"/>
      <c r="I132" s="44">
        <v>0.05</v>
      </c>
      <c r="J132" s="16">
        <f>ROUND(($J$123/(1-$I$135))*I132,2)</f>
        <v>317.49</v>
      </c>
    </row>
    <row r="133" spans="1:10" ht="13">
      <c r="A133" s="105" t="s">
        <v>40</v>
      </c>
      <c r="B133" s="105"/>
      <c r="C133" s="105"/>
      <c r="D133" s="105"/>
      <c r="E133" s="105"/>
      <c r="F133" s="105"/>
      <c r="G133" s="105"/>
      <c r="H133" s="105"/>
      <c r="I133" s="105"/>
      <c r="J133" s="14">
        <f>SUM(J120+J122+J126+J127+J132)</f>
        <v>1806.34</v>
      </c>
    </row>
    <row r="134" spans="1:10" ht="13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</row>
    <row r="135" spans="1:10" ht="14.65" customHeight="1">
      <c r="A135" s="106" t="s">
        <v>117</v>
      </c>
      <c r="B135" s="106"/>
      <c r="C135" s="106"/>
      <c r="D135" s="106"/>
      <c r="E135" s="106"/>
      <c r="F135" s="106"/>
      <c r="G135" s="106"/>
      <c r="H135" s="106"/>
      <c r="I135" s="46">
        <f>SUM(I126:I132)</f>
        <v>8.6499999999999994E-2</v>
      </c>
      <c r="J135" s="41">
        <f>SUM(J126:J132)</f>
        <v>549.25</v>
      </c>
    </row>
    <row r="136" spans="1:10">
      <c r="A136" s="107" t="s">
        <v>118</v>
      </c>
      <c r="B136" s="107"/>
      <c r="C136" s="107"/>
      <c r="D136" s="108" t="s">
        <v>119</v>
      </c>
      <c r="E136" s="108"/>
      <c r="F136" s="108"/>
      <c r="G136" s="108"/>
      <c r="H136" s="108"/>
      <c r="I136" s="108"/>
      <c r="J136" s="108"/>
    </row>
    <row r="137" spans="1:10">
      <c r="A137" s="107"/>
      <c r="B137" s="107"/>
      <c r="C137" s="107"/>
      <c r="D137" s="108" t="s">
        <v>120</v>
      </c>
      <c r="E137" s="108"/>
      <c r="F137" s="108"/>
      <c r="G137" s="108"/>
      <c r="H137" s="108"/>
      <c r="I137" s="108"/>
      <c r="J137" s="108"/>
    </row>
    <row r="138" spans="1:10">
      <c r="A138" s="107"/>
      <c r="B138" s="107"/>
      <c r="C138" s="107"/>
      <c r="D138" s="108" t="s">
        <v>121</v>
      </c>
      <c r="E138" s="108"/>
      <c r="F138" s="108"/>
      <c r="G138" s="108"/>
      <c r="H138" s="108"/>
      <c r="I138" s="108"/>
      <c r="J138" s="108"/>
    </row>
    <row r="139" spans="1:10" ht="13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</row>
    <row r="140" spans="1:10" ht="46" customHeight="1">
      <c r="A140" s="102" t="s">
        <v>122</v>
      </c>
      <c r="B140" s="102"/>
      <c r="C140" s="102"/>
      <c r="D140" s="102"/>
      <c r="E140" s="102"/>
      <c r="F140" s="102"/>
      <c r="G140" s="102"/>
      <c r="H140" s="102"/>
      <c r="I140" s="102"/>
      <c r="J140" s="102"/>
    </row>
    <row r="141" spans="1:10" ht="14.65" customHeight="1">
      <c r="A141" s="103" t="s">
        <v>123</v>
      </c>
      <c r="B141" s="103"/>
      <c r="C141" s="103"/>
      <c r="D141" s="103"/>
      <c r="E141" s="103"/>
      <c r="F141" s="103"/>
      <c r="G141" s="103"/>
      <c r="H141" s="103"/>
      <c r="I141" s="103"/>
      <c r="J141" s="47" t="s">
        <v>37</v>
      </c>
    </row>
    <row r="142" spans="1:10" ht="14.65" customHeight="1">
      <c r="A142" s="48" t="s">
        <v>5</v>
      </c>
      <c r="B142" s="99" t="s">
        <v>124</v>
      </c>
      <c r="C142" s="99"/>
      <c r="D142" s="99"/>
      <c r="E142" s="99"/>
      <c r="F142" s="99"/>
      <c r="G142" s="99"/>
      <c r="H142" s="99"/>
      <c r="I142" s="99"/>
      <c r="J142" s="27">
        <f>J30</f>
        <v>2424</v>
      </c>
    </row>
    <row r="143" spans="1:10" ht="14.65" customHeight="1">
      <c r="A143" s="48" t="s">
        <v>7</v>
      </c>
      <c r="B143" s="99" t="s">
        <v>33</v>
      </c>
      <c r="C143" s="99"/>
      <c r="D143" s="99"/>
      <c r="E143" s="99"/>
      <c r="F143" s="99"/>
      <c r="G143" s="99"/>
      <c r="H143" s="99"/>
      <c r="I143" s="99"/>
      <c r="J143" s="27">
        <f>J71</f>
        <v>1548.5700000000002</v>
      </c>
    </row>
    <row r="144" spans="1:10" ht="14.65" customHeight="1">
      <c r="A144" s="48" t="s">
        <v>9</v>
      </c>
      <c r="B144" s="99" t="s">
        <v>125</v>
      </c>
      <c r="C144" s="99"/>
      <c r="D144" s="99"/>
      <c r="E144" s="99"/>
      <c r="F144" s="99"/>
      <c r="G144" s="99"/>
      <c r="H144" s="99"/>
      <c r="I144" s="99"/>
      <c r="J144" s="27">
        <f>J81</f>
        <v>102.74666666666667</v>
      </c>
    </row>
    <row r="145" spans="1:12" ht="14.65" customHeight="1">
      <c r="A145" s="48" t="s">
        <v>12</v>
      </c>
      <c r="B145" s="99" t="s">
        <v>126</v>
      </c>
      <c r="C145" s="99"/>
      <c r="D145" s="99"/>
      <c r="E145" s="99"/>
      <c r="F145" s="99"/>
      <c r="G145" s="99"/>
      <c r="H145" s="99"/>
      <c r="I145" s="99"/>
      <c r="J145" s="27">
        <f>J107</f>
        <v>224.25786849999997</v>
      </c>
    </row>
    <row r="146" spans="1:12" ht="14.65" customHeight="1">
      <c r="A146" s="48" t="s">
        <v>29</v>
      </c>
      <c r="B146" s="99" t="s">
        <v>127</v>
      </c>
      <c r="C146" s="99"/>
      <c r="D146" s="99"/>
      <c r="E146" s="99"/>
      <c r="F146" s="99"/>
      <c r="G146" s="99"/>
      <c r="H146" s="99"/>
      <c r="I146" s="99"/>
      <c r="J146" s="27">
        <f>J115</f>
        <v>243.90189393939394</v>
      </c>
    </row>
    <row r="147" spans="1:12" ht="14.65" customHeight="1">
      <c r="A147" s="100" t="s">
        <v>128</v>
      </c>
      <c r="B147" s="100"/>
      <c r="C147" s="100"/>
      <c r="D147" s="100"/>
      <c r="E147" s="100"/>
      <c r="F147" s="100"/>
      <c r="G147" s="100"/>
      <c r="H147" s="100"/>
      <c r="I147" s="100"/>
      <c r="J147" s="38">
        <f>SUM(J142:J146)</f>
        <v>4543.4764291060601</v>
      </c>
    </row>
    <row r="148" spans="1:12" ht="14.65" customHeight="1">
      <c r="A148" s="48" t="s">
        <v>53</v>
      </c>
      <c r="B148" s="99" t="s">
        <v>129</v>
      </c>
      <c r="C148" s="99"/>
      <c r="D148" s="99"/>
      <c r="E148" s="99"/>
      <c r="F148" s="99"/>
      <c r="G148" s="99"/>
      <c r="H148" s="99"/>
      <c r="I148" s="99"/>
      <c r="J148" s="27">
        <f>J133</f>
        <v>1806.34</v>
      </c>
    </row>
    <row r="149" spans="1:12" ht="14.65" customHeight="1">
      <c r="A149" s="100" t="s">
        <v>130</v>
      </c>
      <c r="B149" s="100"/>
      <c r="C149" s="100"/>
      <c r="D149" s="100"/>
      <c r="E149" s="100"/>
      <c r="F149" s="100"/>
      <c r="G149" s="100"/>
      <c r="H149" s="100"/>
      <c r="I149" s="100"/>
      <c r="J149" s="38">
        <f>SUM(J147:J148)</f>
        <v>6349.8164291060602</v>
      </c>
    </row>
    <row r="150" spans="1:12" ht="27.5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A1:J1"/>
    <mergeCell ref="A2:J2"/>
    <mergeCell ref="A3:G3"/>
    <mergeCell ref="H3:J3"/>
    <mergeCell ref="A4:G4"/>
    <mergeCell ref="H4:J4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60:H60"/>
    <mergeCell ref="B61:I61"/>
    <mergeCell ref="B62:I62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7B183-964E-4211-B176-15C2DC7B31F9}">
  <sheetPr>
    <tabColor rgb="FF0070C0"/>
  </sheetPr>
  <dimension ref="A1:Q172"/>
  <sheetViews>
    <sheetView showGridLines="0" view="pageBreakPreview" topLeftCell="A46" zoomScaleNormal="100" zoomScaleSheetLayoutView="100" zoomScalePageLayoutView="95" workbookViewId="0">
      <selection activeCell="J64" sqref="J64"/>
    </sheetView>
  </sheetViews>
  <sheetFormatPr defaultRowHeight="12.5"/>
  <cols>
    <col min="1" max="9" width="8.7265625" customWidth="1"/>
    <col min="10" max="10" width="15.453125" customWidth="1"/>
    <col min="11" max="11" width="17.453125" customWidth="1"/>
    <col min="12" max="12" width="17" customWidth="1"/>
    <col min="13" max="16" width="8.7265625" customWidth="1"/>
    <col min="17" max="17" width="10.81640625" customWidth="1"/>
    <col min="18" max="1025" width="8.7265625" customWidth="1"/>
  </cols>
  <sheetData>
    <row r="1" spans="1:12" ht="24.25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2" ht="46.5" customHeight="1">
      <c r="A2" s="136" t="s">
        <v>297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2" ht="14.65" customHeight="1">
      <c r="A3" s="109" t="s">
        <v>1</v>
      </c>
      <c r="B3" s="109"/>
      <c r="C3" s="109"/>
      <c r="D3" s="109"/>
      <c r="E3" s="109"/>
      <c r="F3" s="109"/>
      <c r="G3" s="109"/>
      <c r="H3" s="138" t="s">
        <v>145</v>
      </c>
      <c r="I3" s="139"/>
      <c r="J3" s="139"/>
    </row>
    <row r="4" spans="1:12" ht="14.65" customHeight="1">
      <c r="A4" s="109" t="s">
        <v>2</v>
      </c>
      <c r="B4" s="109"/>
      <c r="C4" s="109"/>
      <c r="D4" s="109"/>
      <c r="E4" s="109"/>
      <c r="F4" s="109"/>
      <c r="G4" s="109"/>
      <c r="H4" s="140" t="s">
        <v>144</v>
      </c>
      <c r="I4" s="139"/>
      <c r="J4" s="139"/>
    </row>
    <row r="5" spans="1:12" ht="14.65" customHeight="1">
      <c r="A5" s="109" t="s">
        <v>3</v>
      </c>
      <c r="B5" s="109"/>
      <c r="C5" s="109"/>
      <c r="D5" s="109"/>
      <c r="E5" s="109"/>
      <c r="F5" s="109"/>
      <c r="G5" s="109"/>
      <c r="H5" s="109"/>
      <c r="I5" s="109"/>
      <c r="J5" s="109"/>
    </row>
    <row r="6" spans="1:12" ht="16.149999999999999" customHeight="1">
      <c r="A6" s="142" t="s">
        <v>4</v>
      </c>
      <c r="B6" s="142"/>
      <c r="C6" s="142"/>
      <c r="D6" s="142"/>
      <c r="E6" s="142"/>
      <c r="F6" s="142"/>
      <c r="G6" s="142"/>
      <c r="H6" s="142"/>
      <c r="I6" s="142"/>
      <c r="J6" s="142"/>
    </row>
    <row r="7" spans="1:12" ht="14.65" customHeight="1">
      <c r="A7" s="1" t="s">
        <v>5</v>
      </c>
      <c r="B7" s="109" t="s">
        <v>6</v>
      </c>
      <c r="C7" s="109"/>
      <c r="D7" s="109"/>
      <c r="E7" s="109"/>
      <c r="F7" s="109"/>
      <c r="G7" s="109"/>
      <c r="H7" s="141">
        <v>44029</v>
      </c>
      <c r="I7" s="141"/>
      <c r="J7" s="141"/>
    </row>
    <row r="8" spans="1:12" ht="14.65" customHeight="1">
      <c r="A8" s="1" t="s">
        <v>7</v>
      </c>
      <c r="B8" s="109" t="s">
        <v>8</v>
      </c>
      <c r="C8" s="109"/>
      <c r="D8" s="109"/>
      <c r="E8" s="109"/>
      <c r="F8" s="109"/>
      <c r="G8" s="109"/>
      <c r="H8" s="141" t="s">
        <v>140</v>
      </c>
      <c r="I8" s="141"/>
      <c r="J8" s="141"/>
    </row>
    <row r="9" spans="1:12" ht="39" customHeight="1">
      <c r="A9" s="1" t="s">
        <v>9</v>
      </c>
      <c r="B9" s="109" t="s">
        <v>10</v>
      </c>
      <c r="C9" s="109"/>
      <c r="D9" s="109"/>
      <c r="E9" s="109"/>
      <c r="F9" s="109"/>
      <c r="G9" s="109"/>
      <c r="H9" s="141" t="s">
        <v>11</v>
      </c>
      <c r="I9" s="141"/>
      <c r="J9" s="141"/>
      <c r="L9" s="55"/>
    </row>
    <row r="10" spans="1:12" ht="14.65" customHeight="1">
      <c r="A10" s="1" t="s">
        <v>12</v>
      </c>
      <c r="B10" s="109" t="s">
        <v>13</v>
      </c>
      <c r="C10" s="109"/>
      <c r="D10" s="109"/>
      <c r="E10" s="109"/>
      <c r="F10" s="109"/>
      <c r="G10" s="109"/>
      <c r="H10" s="139">
        <v>12</v>
      </c>
      <c r="I10" s="139"/>
      <c r="J10" s="139"/>
    </row>
    <row r="11" spans="1:12" ht="13">
      <c r="A11" s="101"/>
      <c r="B11" s="101"/>
      <c r="C11" s="101"/>
      <c r="D11" s="101"/>
      <c r="E11" s="101"/>
      <c r="F11" s="101"/>
      <c r="G11" s="101"/>
      <c r="H11" s="101"/>
      <c r="I11" s="101"/>
      <c r="J11" s="101"/>
    </row>
    <row r="12" spans="1:12" ht="48.75" customHeight="1">
      <c r="A12" s="132" t="s">
        <v>14</v>
      </c>
      <c r="B12" s="132"/>
      <c r="C12" s="132"/>
      <c r="D12" s="132"/>
      <c r="E12" s="132"/>
      <c r="F12" s="132"/>
      <c r="G12" s="132"/>
      <c r="H12" s="132"/>
      <c r="I12" s="132"/>
      <c r="J12" s="132"/>
      <c r="L12" s="55"/>
    </row>
    <row r="13" spans="1:12" ht="13">
      <c r="A13" s="101"/>
      <c r="B13" s="101"/>
      <c r="C13" s="101"/>
      <c r="D13" s="101"/>
      <c r="E13" s="101"/>
      <c r="F13" s="101"/>
      <c r="G13" s="101"/>
      <c r="H13" s="101"/>
      <c r="I13" s="101"/>
      <c r="J13" s="101"/>
    </row>
    <row r="14" spans="1:12" ht="16.149999999999999" customHeight="1">
      <c r="A14" s="115" t="s">
        <v>15</v>
      </c>
      <c r="B14" s="115"/>
      <c r="C14" s="115"/>
      <c r="D14" s="115"/>
      <c r="E14" s="115"/>
      <c r="F14" s="115"/>
      <c r="G14" s="115"/>
      <c r="H14" s="115"/>
      <c r="I14" s="115"/>
      <c r="J14" s="115"/>
      <c r="L14" s="55"/>
    </row>
    <row r="15" spans="1:12" ht="16.149999999999999" customHeight="1">
      <c r="A15" s="1">
        <v>1</v>
      </c>
      <c r="B15" s="109" t="s">
        <v>16</v>
      </c>
      <c r="C15" s="109"/>
      <c r="D15" s="109"/>
      <c r="E15" s="109"/>
      <c r="F15" s="109"/>
      <c r="G15" s="109"/>
      <c r="H15" s="134" t="s">
        <v>17</v>
      </c>
      <c r="I15" s="134"/>
      <c r="J15" s="134"/>
    </row>
    <row r="16" spans="1:12" ht="16.149999999999999" customHeight="1">
      <c r="A16" s="1">
        <v>2</v>
      </c>
      <c r="B16" s="109" t="s">
        <v>18</v>
      </c>
      <c r="C16" s="109"/>
      <c r="D16" s="109"/>
      <c r="E16" s="109"/>
      <c r="F16" s="109"/>
      <c r="G16" s="109"/>
      <c r="H16" s="134">
        <v>9511</v>
      </c>
      <c r="I16" s="134"/>
      <c r="J16" s="134"/>
    </row>
    <row r="17" spans="1:17" ht="16.149999999999999" customHeight="1">
      <c r="A17" s="1">
        <v>3</v>
      </c>
      <c r="B17" s="109" t="s">
        <v>19</v>
      </c>
      <c r="C17" s="109"/>
      <c r="D17" s="109"/>
      <c r="E17" s="109"/>
      <c r="F17" s="109"/>
      <c r="G17" s="109"/>
      <c r="H17" s="143">
        <v>1601.35</v>
      </c>
      <c r="I17" s="143"/>
      <c r="J17" s="143"/>
    </row>
    <row r="18" spans="1:17" ht="16.149999999999999" customHeight="1">
      <c r="A18" s="1">
        <v>4</v>
      </c>
      <c r="B18" s="109" t="s">
        <v>20</v>
      </c>
      <c r="C18" s="109"/>
      <c r="D18" s="109"/>
      <c r="E18" s="109"/>
      <c r="F18" s="109"/>
      <c r="G18" s="109"/>
      <c r="H18" s="134" t="s">
        <v>172</v>
      </c>
      <c r="I18" s="134"/>
      <c r="J18" s="134"/>
    </row>
    <row r="19" spans="1:17" ht="16.149999999999999" customHeight="1">
      <c r="A19" s="1">
        <v>5</v>
      </c>
      <c r="B19" s="109" t="s">
        <v>21</v>
      </c>
      <c r="C19" s="109"/>
      <c r="D19" s="109"/>
      <c r="E19" s="109"/>
      <c r="F19" s="109"/>
      <c r="G19" s="109"/>
      <c r="H19" s="133" t="s">
        <v>141</v>
      </c>
      <c r="I19" s="133"/>
      <c r="J19" s="133"/>
    </row>
    <row r="20" spans="1:17" ht="16.149999999999999" customHeight="1">
      <c r="A20" s="1">
        <v>5</v>
      </c>
      <c r="B20" s="109" t="s">
        <v>133</v>
      </c>
      <c r="C20" s="109"/>
      <c r="D20" s="109"/>
      <c r="E20" s="109"/>
      <c r="F20" s="109"/>
      <c r="G20" s="109"/>
      <c r="H20" s="131">
        <v>44</v>
      </c>
      <c r="I20" s="131"/>
      <c r="J20" s="131"/>
    </row>
    <row r="21" spans="1:17" ht="13">
      <c r="A21" s="101"/>
      <c r="B21" s="101"/>
      <c r="C21" s="101"/>
      <c r="D21" s="101"/>
      <c r="E21" s="101"/>
      <c r="F21" s="101"/>
      <c r="G21" s="101"/>
      <c r="H21" s="101"/>
      <c r="I21" s="101"/>
      <c r="J21" s="101"/>
    </row>
    <row r="22" spans="1:17" ht="20.65" customHeight="1">
      <c r="A22" s="132" t="s">
        <v>22</v>
      </c>
      <c r="B22" s="132"/>
      <c r="C22" s="132"/>
      <c r="D22" s="132"/>
      <c r="E22" s="132"/>
      <c r="F22" s="132"/>
      <c r="G22" s="132"/>
      <c r="H22" s="132"/>
      <c r="I22" s="132"/>
      <c r="J22" s="132"/>
    </row>
    <row r="23" spans="1:17" ht="30.4" customHeight="1">
      <c r="A23" s="64">
        <v>1</v>
      </c>
      <c r="B23" s="115" t="s">
        <v>23</v>
      </c>
      <c r="C23" s="115"/>
      <c r="D23" s="115"/>
      <c r="E23" s="115"/>
      <c r="F23" s="115"/>
      <c r="G23" s="115"/>
      <c r="H23" s="115" t="s">
        <v>24</v>
      </c>
      <c r="I23" s="115"/>
      <c r="J23" s="64" t="s">
        <v>25</v>
      </c>
    </row>
    <row r="24" spans="1:17" ht="12.75" customHeight="1">
      <c r="A24" s="1" t="s">
        <v>5</v>
      </c>
      <c r="B24" s="109" t="s">
        <v>143</v>
      </c>
      <c r="C24" s="109"/>
      <c r="D24" s="109"/>
      <c r="E24" s="109"/>
      <c r="F24" s="109"/>
      <c r="G24" s="109"/>
      <c r="H24" s="109"/>
      <c r="I24" s="109"/>
      <c r="J24" s="2">
        <f>ROUND(H17/44*H20,2)</f>
        <v>1601.35</v>
      </c>
    </row>
    <row r="25" spans="1:17" ht="12.75" customHeight="1">
      <c r="A25" s="66" t="s">
        <v>7</v>
      </c>
      <c r="B25" s="109" t="s">
        <v>26</v>
      </c>
      <c r="C25" s="109"/>
      <c r="D25" s="109"/>
      <c r="E25" s="109"/>
      <c r="F25" s="109"/>
      <c r="G25" s="109"/>
      <c r="H25" s="109"/>
      <c r="I25" s="3"/>
      <c r="J25" s="2"/>
      <c r="K25" s="57"/>
    </row>
    <row r="26" spans="1:17" ht="12.75" customHeight="1">
      <c r="A26" s="66" t="s">
        <v>9</v>
      </c>
      <c r="B26" s="109" t="s">
        <v>27</v>
      </c>
      <c r="C26" s="109"/>
      <c r="D26" s="109"/>
      <c r="E26" s="109"/>
      <c r="F26" s="109"/>
      <c r="G26" s="109"/>
      <c r="H26" s="109"/>
      <c r="I26" s="109"/>
      <c r="J26" s="2"/>
    </row>
    <row r="27" spans="1:17" ht="12.75" customHeight="1">
      <c r="A27" s="66" t="s">
        <v>12</v>
      </c>
      <c r="B27" s="109" t="s">
        <v>28</v>
      </c>
      <c r="C27" s="109"/>
      <c r="D27" s="109"/>
      <c r="E27" s="109"/>
      <c r="F27" s="109"/>
      <c r="G27" s="109"/>
      <c r="H27" s="109"/>
      <c r="I27" s="109"/>
      <c r="J27" s="2"/>
    </row>
    <row r="28" spans="1:17" ht="12.75" customHeight="1">
      <c r="A28" s="66" t="s">
        <v>29</v>
      </c>
      <c r="B28" s="109" t="s">
        <v>30</v>
      </c>
      <c r="C28" s="109"/>
      <c r="D28" s="109"/>
      <c r="E28" s="109"/>
      <c r="F28" s="109"/>
      <c r="G28" s="109"/>
      <c r="H28" s="109"/>
      <c r="I28" s="109"/>
      <c r="J28" s="2"/>
      <c r="Q28" s="54"/>
    </row>
    <row r="29" spans="1:17" ht="12.75" customHeight="1">
      <c r="A29" s="1" t="s">
        <v>7</v>
      </c>
      <c r="B29" s="109" t="s">
        <v>31</v>
      </c>
      <c r="C29" s="109"/>
      <c r="D29" s="109"/>
      <c r="E29" s="109"/>
      <c r="F29" s="109"/>
      <c r="G29" s="109"/>
      <c r="H29" s="109"/>
      <c r="I29" s="4">
        <v>0.2</v>
      </c>
      <c r="J29" s="2">
        <f>I29*J24</f>
        <v>320.27</v>
      </c>
      <c r="Q29" s="54"/>
    </row>
    <row r="30" spans="1:17" ht="15.75" customHeight="1">
      <c r="A30" s="116" t="s">
        <v>32</v>
      </c>
      <c r="B30" s="116"/>
      <c r="C30" s="116"/>
      <c r="D30" s="116"/>
      <c r="E30" s="116"/>
      <c r="F30" s="116"/>
      <c r="G30" s="116"/>
      <c r="H30" s="116"/>
      <c r="I30" s="116"/>
      <c r="J30" s="5">
        <f>SUM(J24:J29)</f>
        <v>1921.62</v>
      </c>
    </row>
    <row r="31" spans="1:17" ht="13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Q31" s="54"/>
    </row>
    <row r="32" spans="1:17" ht="16.149999999999999" customHeight="1">
      <c r="A32" s="112" t="s">
        <v>33</v>
      </c>
      <c r="B32" s="112"/>
      <c r="C32" s="112"/>
      <c r="D32" s="112"/>
      <c r="E32" s="112"/>
      <c r="F32" s="112"/>
      <c r="G32" s="112"/>
      <c r="H32" s="112"/>
      <c r="I32" s="112"/>
      <c r="J32" s="112"/>
    </row>
    <row r="33" spans="1:13" ht="14">
      <c r="A33" s="129" t="s">
        <v>34</v>
      </c>
      <c r="B33" s="129"/>
      <c r="C33" s="129"/>
      <c r="D33" s="129"/>
      <c r="E33" s="129"/>
      <c r="F33" s="129"/>
      <c r="G33" s="129"/>
      <c r="H33" s="129"/>
      <c r="I33" s="129"/>
      <c r="J33" s="129"/>
    </row>
    <row r="34" spans="1:13" ht="14">
      <c r="A34" s="6" t="s">
        <v>35</v>
      </c>
      <c r="B34" s="130" t="s">
        <v>36</v>
      </c>
      <c r="C34" s="130"/>
      <c r="D34" s="130"/>
      <c r="E34" s="130"/>
      <c r="F34" s="130"/>
      <c r="G34" s="130"/>
      <c r="H34" s="130"/>
      <c r="I34" s="130"/>
      <c r="J34" s="7" t="s">
        <v>37</v>
      </c>
    </row>
    <row r="35" spans="1:13" ht="27.65" customHeight="1">
      <c r="A35" s="8" t="s">
        <v>5</v>
      </c>
      <c r="B35" s="109" t="s">
        <v>38</v>
      </c>
      <c r="C35" s="109"/>
      <c r="D35" s="109"/>
      <c r="E35" s="109"/>
      <c r="F35" s="109"/>
      <c r="G35" s="109"/>
      <c r="H35" s="109"/>
      <c r="I35" s="9">
        <v>8.3299999999999999E-2</v>
      </c>
      <c r="J35" s="10">
        <f>ROUND($J$30*I35,2)</f>
        <v>160.07</v>
      </c>
      <c r="M35" s="55"/>
    </row>
    <row r="36" spans="1:13" ht="36.25" customHeight="1">
      <c r="A36" s="8" t="s">
        <v>7</v>
      </c>
      <c r="B36" s="120" t="s">
        <v>39</v>
      </c>
      <c r="C36" s="120"/>
      <c r="D36" s="120"/>
      <c r="E36" s="120"/>
      <c r="F36" s="120"/>
      <c r="G36" s="120"/>
      <c r="H36" s="120"/>
      <c r="I36" s="11">
        <v>3.0249999999999999E-2</v>
      </c>
      <c r="J36" s="10">
        <f>ROUND($J$30*I36,2)</f>
        <v>58.13</v>
      </c>
    </row>
    <row r="37" spans="1:13" ht="13">
      <c r="A37" s="128" t="s">
        <v>40</v>
      </c>
      <c r="B37" s="128"/>
      <c r="C37" s="128"/>
      <c r="D37" s="128"/>
      <c r="E37" s="128"/>
      <c r="F37" s="128"/>
      <c r="G37" s="128"/>
      <c r="H37" s="128"/>
      <c r="I37" s="128"/>
      <c r="J37" s="65">
        <f>SUM(J35+J36)</f>
        <v>218.2</v>
      </c>
    </row>
    <row r="38" spans="1:13" ht="13">
      <c r="A38" s="101"/>
      <c r="B38" s="101"/>
      <c r="C38" s="101"/>
      <c r="D38" s="101"/>
      <c r="E38" s="101"/>
      <c r="F38" s="101"/>
      <c r="G38" s="101"/>
      <c r="H38" s="101"/>
      <c r="I38" s="101"/>
      <c r="J38" s="101"/>
    </row>
    <row r="39" spans="1:13" ht="30.4" customHeight="1">
      <c r="A39" s="112" t="s">
        <v>41</v>
      </c>
      <c r="B39" s="112"/>
      <c r="C39" s="112"/>
      <c r="D39" s="112"/>
      <c r="E39" s="112"/>
      <c r="F39" s="112"/>
      <c r="G39" s="112"/>
      <c r="H39" s="112"/>
      <c r="I39" s="112"/>
      <c r="J39" s="112"/>
    </row>
    <row r="40" spans="1:13" ht="30.4" customHeight="1">
      <c r="A40" s="63" t="s">
        <v>42</v>
      </c>
      <c r="B40" s="113" t="s">
        <v>43</v>
      </c>
      <c r="C40" s="113"/>
      <c r="D40" s="113"/>
      <c r="E40" s="113"/>
      <c r="F40" s="113"/>
      <c r="G40" s="113"/>
      <c r="H40" s="113"/>
      <c r="I40" s="64" t="s">
        <v>44</v>
      </c>
      <c r="J40" s="64" t="s">
        <v>45</v>
      </c>
    </row>
    <row r="41" spans="1:13" ht="13">
      <c r="A41" s="8" t="s">
        <v>5</v>
      </c>
      <c r="B41" s="104" t="s">
        <v>46</v>
      </c>
      <c r="C41" s="104"/>
      <c r="D41" s="104"/>
      <c r="E41" s="104"/>
      <c r="F41" s="104"/>
      <c r="G41" s="104"/>
      <c r="H41" s="104"/>
      <c r="I41" s="15">
        <v>0.2</v>
      </c>
      <c r="J41" s="16">
        <f>ROUND(($J$30+$J$37)*I41,2)</f>
        <v>427.96</v>
      </c>
    </row>
    <row r="42" spans="1:13" ht="13">
      <c r="A42" s="8" t="s">
        <v>7</v>
      </c>
      <c r="B42" s="104" t="s">
        <v>47</v>
      </c>
      <c r="C42" s="104"/>
      <c r="D42" s="104"/>
      <c r="E42" s="104"/>
      <c r="F42" s="104"/>
      <c r="G42" s="104"/>
      <c r="H42" s="104"/>
      <c r="I42" s="15">
        <v>2.5000000000000001E-2</v>
      </c>
      <c r="J42" s="16">
        <f t="shared" ref="J42:J48" si="0">ROUND(($J$30+$J$37)*I42,2)</f>
        <v>53.5</v>
      </c>
    </row>
    <row r="43" spans="1:13" ht="23.9" customHeight="1">
      <c r="A43" s="8" t="s">
        <v>9</v>
      </c>
      <c r="B43" s="109" t="s">
        <v>48</v>
      </c>
      <c r="C43" s="109"/>
      <c r="D43" s="109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21.4</v>
      </c>
    </row>
    <row r="44" spans="1:13" ht="13">
      <c r="A44" s="8" t="s">
        <v>12</v>
      </c>
      <c r="B44" s="104" t="s">
        <v>51</v>
      </c>
      <c r="C44" s="104"/>
      <c r="D44" s="104"/>
      <c r="E44" s="104"/>
      <c r="F44" s="104"/>
      <c r="G44" s="104"/>
      <c r="H44" s="104"/>
      <c r="I44" s="15">
        <v>1.4999999999999999E-2</v>
      </c>
      <c r="J44" s="16">
        <f t="shared" si="0"/>
        <v>32.1</v>
      </c>
    </row>
    <row r="45" spans="1:13" ht="13">
      <c r="A45" s="8" t="s">
        <v>29</v>
      </c>
      <c r="B45" s="104" t="s">
        <v>52</v>
      </c>
      <c r="C45" s="104"/>
      <c r="D45" s="104"/>
      <c r="E45" s="104"/>
      <c r="F45" s="104"/>
      <c r="G45" s="104"/>
      <c r="H45" s="104"/>
      <c r="I45" s="15">
        <v>0.01</v>
      </c>
      <c r="J45" s="16">
        <f t="shared" si="0"/>
        <v>21.4</v>
      </c>
    </row>
    <row r="46" spans="1:13" ht="13">
      <c r="A46" s="8" t="s">
        <v>53</v>
      </c>
      <c r="B46" s="104" t="s">
        <v>54</v>
      </c>
      <c r="C46" s="104"/>
      <c r="D46" s="104"/>
      <c r="E46" s="104"/>
      <c r="F46" s="104"/>
      <c r="G46" s="104"/>
      <c r="H46" s="104"/>
      <c r="I46" s="15">
        <v>6.0000000000000001E-3</v>
      </c>
      <c r="J46" s="16">
        <f t="shared" si="0"/>
        <v>12.84</v>
      </c>
    </row>
    <row r="47" spans="1:13" ht="13">
      <c r="A47" s="8" t="s">
        <v>55</v>
      </c>
      <c r="B47" s="104" t="s">
        <v>56</v>
      </c>
      <c r="C47" s="104"/>
      <c r="D47" s="104"/>
      <c r="E47" s="104"/>
      <c r="F47" s="104"/>
      <c r="G47" s="104"/>
      <c r="H47" s="104"/>
      <c r="I47" s="15">
        <v>2E-3</v>
      </c>
      <c r="J47" s="16">
        <f t="shared" si="0"/>
        <v>4.28</v>
      </c>
    </row>
    <row r="48" spans="1:13" ht="13">
      <c r="A48" s="8" t="s">
        <v>57</v>
      </c>
      <c r="B48" s="104" t="s">
        <v>58</v>
      </c>
      <c r="C48" s="104"/>
      <c r="D48" s="104"/>
      <c r="E48" s="104"/>
      <c r="F48" s="104"/>
      <c r="G48" s="104"/>
      <c r="H48" s="104"/>
      <c r="I48" s="15">
        <v>0.08</v>
      </c>
      <c r="J48" s="16">
        <f t="shared" si="0"/>
        <v>171.19</v>
      </c>
    </row>
    <row r="49" spans="1:12" ht="13">
      <c r="A49" s="105" t="s">
        <v>40</v>
      </c>
      <c r="B49" s="105"/>
      <c r="C49" s="105"/>
      <c r="D49" s="105"/>
      <c r="E49" s="105"/>
      <c r="F49" s="105"/>
      <c r="G49" s="105"/>
      <c r="H49" s="105"/>
      <c r="I49" s="21">
        <f>SUM(I41:I48)</f>
        <v>0.34800000000000003</v>
      </c>
      <c r="J49" s="14">
        <f>SUM(J41:J48)</f>
        <v>744.66999999999985</v>
      </c>
    </row>
    <row r="50" spans="1:12" ht="13">
      <c r="A50" s="101"/>
      <c r="B50" s="101"/>
      <c r="C50" s="101"/>
      <c r="D50" s="101"/>
      <c r="E50" s="101"/>
      <c r="F50" s="101"/>
      <c r="G50" s="101"/>
      <c r="H50" s="101"/>
      <c r="I50" s="101"/>
      <c r="J50" s="101"/>
    </row>
    <row r="51" spans="1:12" ht="16.149999999999999" customHeight="1">
      <c r="A51" s="112" t="s">
        <v>59</v>
      </c>
      <c r="B51" s="112"/>
      <c r="C51" s="112"/>
      <c r="D51" s="112"/>
      <c r="E51" s="112"/>
      <c r="F51" s="112"/>
      <c r="G51" s="112"/>
      <c r="H51" s="112"/>
      <c r="I51" s="112"/>
      <c r="J51" s="112"/>
      <c r="L51" s="53"/>
    </row>
    <row r="52" spans="1:12" ht="16.149999999999999" customHeight="1">
      <c r="A52" s="69" t="s">
        <v>60</v>
      </c>
      <c r="B52" s="113" t="s">
        <v>61</v>
      </c>
      <c r="C52" s="113"/>
      <c r="D52" s="113"/>
      <c r="E52" s="113"/>
      <c r="F52" s="113"/>
      <c r="G52" s="113"/>
      <c r="H52" s="113"/>
      <c r="I52" s="113"/>
      <c r="J52" s="68" t="s">
        <v>37</v>
      </c>
    </row>
    <row r="53" spans="1:12" ht="13">
      <c r="A53" s="8" t="s">
        <v>5</v>
      </c>
      <c r="B53" s="104" t="s">
        <v>62</v>
      </c>
      <c r="C53" s="104"/>
      <c r="D53" s="104"/>
      <c r="E53" s="104"/>
      <c r="F53" s="104"/>
      <c r="G53" s="104"/>
      <c r="H53" s="104"/>
      <c r="I53" s="104"/>
      <c r="J53" s="16">
        <f>IF(ROUND((I56*I54*I55)-(J24*0.06),2)&lt;0,0,ROUND((I56*I54*I55)-(J24*0.06),2))</f>
        <v>153.52000000000001</v>
      </c>
    </row>
    <row r="54" spans="1:12" ht="13">
      <c r="A54" s="8"/>
      <c r="B54" s="121" t="s">
        <v>63</v>
      </c>
      <c r="C54" s="121"/>
      <c r="D54" s="121"/>
      <c r="E54" s="121"/>
      <c r="F54" s="121"/>
      <c r="G54" s="121"/>
      <c r="H54" s="121"/>
      <c r="I54" s="22">
        <v>4.8</v>
      </c>
      <c r="J54" s="51" t="s">
        <v>64</v>
      </c>
    </row>
    <row r="55" spans="1:12" ht="13">
      <c r="A55" s="8"/>
      <c r="B55" s="121" t="s">
        <v>65</v>
      </c>
      <c r="C55" s="121"/>
      <c r="D55" s="121"/>
      <c r="E55" s="121"/>
      <c r="F55" s="121"/>
      <c r="G55" s="121"/>
      <c r="H55" s="121"/>
      <c r="I55" s="23">
        <v>2</v>
      </c>
      <c r="J55" s="51"/>
    </row>
    <row r="56" spans="1:12" ht="13">
      <c r="A56" s="8"/>
      <c r="B56" s="121" t="s">
        <v>66</v>
      </c>
      <c r="C56" s="121"/>
      <c r="D56" s="121"/>
      <c r="E56" s="121"/>
      <c r="F56" s="121"/>
      <c r="G56" s="121"/>
      <c r="H56" s="121"/>
      <c r="I56" s="24">
        <v>26</v>
      </c>
      <c r="J56" s="51"/>
    </row>
    <row r="57" spans="1:12" ht="13">
      <c r="A57" s="8" t="s">
        <v>7</v>
      </c>
      <c r="B57" s="104" t="s">
        <v>67</v>
      </c>
      <c r="C57" s="104"/>
      <c r="D57" s="104"/>
      <c r="E57" s="104"/>
      <c r="F57" s="104"/>
      <c r="G57" s="104"/>
      <c r="H57" s="104"/>
      <c r="I57" s="104"/>
      <c r="J57" s="16">
        <f>ROUND((I58*I59)-(I59*I58*I60),2)</f>
        <v>359.61</v>
      </c>
    </row>
    <row r="58" spans="1:12" ht="13">
      <c r="A58" s="8"/>
      <c r="B58" s="121" t="s">
        <v>68</v>
      </c>
      <c r="C58" s="121"/>
      <c r="D58" s="121"/>
      <c r="E58" s="121"/>
      <c r="F58" s="121"/>
      <c r="G58" s="121"/>
      <c r="H58" s="121"/>
      <c r="I58" s="22">
        <v>20.18</v>
      </c>
      <c r="J58" s="51" t="s">
        <v>64</v>
      </c>
    </row>
    <row r="59" spans="1:12" ht="13">
      <c r="A59" s="25"/>
      <c r="B59" s="121" t="s">
        <v>69</v>
      </c>
      <c r="C59" s="121"/>
      <c r="D59" s="121"/>
      <c r="E59" s="121"/>
      <c r="F59" s="121"/>
      <c r="G59" s="121"/>
      <c r="H59" s="121"/>
      <c r="I59" s="26">
        <v>22</v>
      </c>
      <c r="J59" s="51"/>
    </row>
    <row r="60" spans="1:12" ht="13">
      <c r="A60" s="25"/>
      <c r="B60" s="121" t="s">
        <v>132</v>
      </c>
      <c r="C60" s="121"/>
      <c r="D60" s="121"/>
      <c r="E60" s="121"/>
      <c r="F60" s="121"/>
      <c r="G60" s="121"/>
      <c r="H60" s="121"/>
      <c r="I60" s="52">
        <v>0.19</v>
      </c>
      <c r="J60" s="51"/>
    </row>
    <row r="61" spans="1:12" ht="27.65" customHeight="1">
      <c r="A61" s="8"/>
      <c r="B61" s="121" t="s">
        <v>208</v>
      </c>
      <c r="C61" s="121"/>
      <c r="D61" s="121"/>
      <c r="E61" s="121"/>
      <c r="F61" s="121"/>
      <c r="G61" s="121"/>
      <c r="H61" s="121"/>
      <c r="I61" s="22">
        <f>I58/2</f>
        <v>10.09</v>
      </c>
      <c r="J61" s="16">
        <f>ROUND((I61*I62)-(I61*I62*I60),2)</f>
        <v>32.69</v>
      </c>
    </row>
    <row r="62" spans="1:12" ht="27.65" customHeight="1">
      <c r="A62" s="25"/>
      <c r="B62" s="121" t="s">
        <v>69</v>
      </c>
      <c r="C62" s="121"/>
      <c r="D62" s="121"/>
      <c r="E62" s="121"/>
      <c r="F62" s="121"/>
      <c r="G62" s="121"/>
      <c r="H62" s="121"/>
      <c r="I62" s="26">
        <v>4</v>
      </c>
      <c r="J62" s="51"/>
      <c r="L62" s="50"/>
    </row>
    <row r="63" spans="1:12" ht="27.65" customHeight="1">
      <c r="A63" s="8" t="s">
        <v>12</v>
      </c>
      <c r="B63" s="122" t="s">
        <v>186</v>
      </c>
      <c r="C63" s="123"/>
      <c r="D63" s="123"/>
      <c r="E63" s="123"/>
      <c r="F63" s="123"/>
      <c r="G63" s="123"/>
      <c r="H63" s="123"/>
      <c r="I63" s="124"/>
      <c r="J63" s="27">
        <v>17.32</v>
      </c>
      <c r="L63" s="50"/>
    </row>
    <row r="64" spans="1:12" ht="13">
      <c r="A64" s="125" t="s">
        <v>32</v>
      </c>
      <c r="B64" s="126"/>
      <c r="C64" s="126"/>
      <c r="D64" s="126"/>
      <c r="E64" s="126"/>
      <c r="F64" s="126"/>
      <c r="G64" s="126"/>
      <c r="H64" s="126"/>
      <c r="I64" s="127"/>
      <c r="J64" s="14">
        <f>SUM(J53:J63)</f>
        <v>563.14</v>
      </c>
      <c r="L64" s="50"/>
    </row>
    <row r="65" spans="1:12" ht="13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L65" s="50"/>
    </row>
    <row r="66" spans="1:12" ht="16.149999999999999" customHeight="1">
      <c r="A66" s="112" t="s">
        <v>71</v>
      </c>
      <c r="B66" s="112"/>
      <c r="C66" s="112"/>
      <c r="D66" s="112"/>
      <c r="E66" s="112"/>
      <c r="F66" s="112"/>
      <c r="G66" s="112"/>
      <c r="H66" s="112"/>
      <c r="I66" s="112"/>
      <c r="J66" s="112"/>
      <c r="L66" s="50"/>
    </row>
    <row r="67" spans="1:12" ht="16.149999999999999" customHeight="1">
      <c r="A67" s="64">
        <v>2</v>
      </c>
      <c r="B67" s="115" t="s">
        <v>72</v>
      </c>
      <c r="C67" s="115"/>
      <c r="D67" s="115"/>
      <c r="E67" s="115"/>
      <c r="F67" s="115"/>
      <c r="G67" s="115"/>
      <c r="H67" s="115"/>
      <c r="I67" s="115"/>
      <c r="J67" s="64" t="s">
        <v>37</v>
      </c>
      <c r="L67" s="50"/>
    </row>
    <row r="68" spans="1:12" ht="14.65" customHeight="1">
      <c r="A68" s="1" t="s">
        <v>35</v>
      </c>
      <c r="B68" s="1"/>
      <c r="C68" s="109" t="s">
        <v>73</v>
      </c>
      <c r="D68" s="109"/>
      <c r="E68" s="109"/>
      <c r="F68" s="109"/>
      <c r="G68" s="109"/>
      <c r="H68" s="109"/>
      <c r="I68" s="109"/>
      <c r="J68" s="28">
        <f>J37</f>
        <v>218.2</v>
      </c>
      <c r="L68" s="50"/>
    </row>
    <row r="69" spans="1:12" ht="14.65" customHeight="1">
      <c r="A69" s="1" t="s">
        <v>42</v>
      </c>
      <c r="B69" s="1"/>
      <c r="C69" s="109" t="s">
        <v>43</v>
      </c>
      <c r="D69" s="109"/>
      <c r="E69" s="109"/>
      <c r="F69" s="109"/>
      <c r="G69" s="109"/>
      <c r="H69" s="109"/>
      <c r="I69" s="109"/>
      <c r="J69" s="28">
        <f>J49</f>
        <v>744.66999999999985</v>
      </c>
      <c r="L69" s="50"/>
    </row>
    <row r="70" spans="1:12" ht="14.65" customHeight="1">
      <c r="A70" s="1" t="s">
        <v>60</v>
      </c>
      <c r="B70" s="1"/>
      <c r="C70" s="109" t="s">
        <v>61</v>
      </c>
      <c r="D70" s="109"/>
      <c r="E70" s="109"/>
      <c r="F70" s="109"/>
      <c r="G70" s="109"/>
      <c r="H70" s="109"/>
      <c r="I70" s="109"/>
      <c r="J70" s="28">
        <f>J64</f>
        <v>563.14</v>
      </c>
      <c r="L70" s="50"/>
    </row>
    <row r="71" spans="1:12" ht="14.65" customHeight="1">
      <c r="A71" s="116" t="s">
        <v>40</v>
      </c>
      <c r="B71" s="116"/>
      <c r="C71" s="116"/>
      <c r="D71" s="116"/>
      <c r="E71" s="116"/>
      <c r="F71" s="116"/>
      <c r="G71" s="116"/>
      <c r="H71" s="116"/>
      <c r="I71" s="116"/>
      <c r="J71" s="29">
        <f>SUM(J68+J69+J70)</f>
        <v>1526.0099999999998</v>
      </c>
    </row>
    <row r="72" spans="1:12" ht="13">
      <c r="A72" s="101"/>
      <c r="B72" s="101"/>
      <c r="C72" s="101"/>
      <c r="D72" s="101"/>
      <c r="E72" s="101"/>
      <c r="F72" s="101"/>
      <c r="G72" s="101"/>
      <c r="H72" s="101"/>
      <c r="I72" s="101"/>
      <c r="J72" s="101"/>
    </row>
    <row r="73" spans="1:12" ht="16.149999999999999" customHeight="1">
      <c r="A73" s="112" t="s">
        <v>74</v>
      </c>
      <c r="B73" s="112"/>
      <c r="C73" s="112"/>
      <c r="D73" s="112"/>
      <c r="E73" s="112"/>
      <c r="F73" s="112"/>
      <c r="G73" s="112"/>
      <c r="H73" s="112"/>
      <c r="I73" s="112"/>
      <c r="J73" s="112"/>
    </row>
    <row r="74" spans="1:12" ht="16.149999999999999" customHeight="1">
      <c r="A74" s="63">
        <v>3</v>
      </c>
      <c r="B74" s="115" t="s">
        <v>75</v>
      </c>
      <c r="C74" s="115"/>
      <c r="D74" s="115"/>
      <c r="E74" s="115"/>
      <c r="F74" s="115"/>
      <c r="G74" s="115"/>
      <c r="H74" s="115"/>
      <c r="I74" s="115"/>
      <c r="J74" s="63" t="s">
        <v>76</v>
      </c>
    </row>
    <row r="75" spans="1:12" ht="46.5" customHeight="1">
      <c r="A75" s="8" t="s">
        <v>5</v>
      </c>
      <c r="B75" s="109" t="s">
        <v>135</v>
      </c>
      <c r="C75" s="109"/>
      <c r="D75" s="109"/>
      <c r="E75" s="109"/>
      <c r="F75" s="109"/>
      <c r="G75" s="109"/>
      <c r="H75" s="109"/>
      <c r="I75" s="109"/>
      <c r="J75" s="16">
        <f>ROUND(((J30)+(J35)+(J30/12)+(J36))/12*0.01,2)</f>
        <v>1.92</v>
      </c>
      <c r="L75" s="50"/>
    </row>
    <row r="76" spans="1:12" ht="14.65" customHeight="1">
      <c r="A76" s="8" t="s">
        <v>7</v>
      </c>
      <c r="B76" s="109" t="s">
        <v>77</v>
      </c>
      <c r="C76" s="109"/>
      <c r="D76" s="109"/>
      <c r="E76" s="109"/>
      <c r="F76" s="109"/>
      <c r="G76" s="109"/>
      <c r="H76" s="109"/>
      <c r="I76" s="109"/>
      <c r="J76" s="16">
        <f>ROUND($J$75*I48,2)</f>
        <v>0.15</v>
      </c>
    </row>
    <row r="77" spans="1:12" ht="36.25" customHeight="1">
      <c r="A77" s="8" t="s">
        <v>9</v>
      </c>
      <c r="B77" s="109" t="s">
        <v>136</v>
      </c>
      <c r="C77" s="109"/>
      <c r="D77" s="109"/>
      <c r="E77" s="109"/>
      <c r="F77" s="109"/>
      <c r="G77" s="109"/>
      <c r="H77" s="109"/>
      <c r="I77" s="30">
        <v>2.3999999999999998E-3</v>
      </c>
      <c r="J77" s="16">
        <f>ROUND($J$30*I77,2)</f>
        <v>4.6100000000000003</v>
      </c>
    </row>
    <row r="78" spans="1:12" ht="34.5" customHeight="1">
      <c r="A78" s="8" t="s">
        <v>12</v>
      </c>
      <c r="B78" s="109" t="s">
        <v>138</v>
      </c>
      <c r="C78" s="109"/>
      <c r="D78" s="109"/>
      <c r="E78" s="109"/>
      <c r="F78" s="109"/>
      <c r="G78" s="109"/>
      <c r="H78" s="109"/>
      <c r="I78" s="109"/>
      <c r="J78" s="16">
        <f>J30/30*7/12*0.05</f>
        <v>1.868241666666667</v>
      </c>
    </row>
    <row r="79" spans="1:12" ht="14.65" customHeight="1">
      <c r="A79" s="8" t="s">
        <v>29</v>
      </c>
      <c r="B79" s="109" t="s">
        <v>78</v>
      </c>
      <c r="C79" s="109"/>
      <c r="D79" s="109"/>
      <c r="E79" s="109"/>
      <c r="F79" s="109"/>
      <c r="G79" s="109"/>
      <c r="H79" s="109"/>
      <c r="I79" s="109"/>
      <c r="J79" s="16">
        <f>ROUND($I$49*J78,2)</f>
        <v>0.65</v>
      </c>
    </row>
    <row r="80" spans="1:12" ht="36.25" customHeight="1">
      <c r="A80" s="8" t="s">
        <v>53</v>
      </c>
      <c r="B80" s="109" t="s">
        <v>137</v>
      </c>
      <c r="C80" s="109"/>
      <c r="D80" s="109"/>
      <c r="E80" s="109"/>
      <c r="F80" s="109"/>
      <c r="G80" s="109"/>
      <c r="H80" s="109"/>
      <c r="I80" s="30">
        <v>3.7600000000000001E-2</v>
      </c>
      <c r="J80" s="16">
        <f>ROUND($J$30*I80,2)</f>
        <v>72.25</v>
      </c>
    </row>
    <row r="81" spans="1:10" ht="13">
      <c r="A81" s="105" t="s">
        <v>40</v>
      </c>
      <c r="B81" s="105"/>
      <c r="C81" s="105"/>
      <c r="D81" s="105"/>
      <c r="E81" s="105"/>
      <c r="F81" s="105"/>
      <c r="G81" s="105"/>
      <c r="H81" s="105"/>
      <c r="I81" s="105"/>
      <c r="J81" s="14">
        <f>SUM(J75:J80)</f>
        <v>81.448241666666661</v>
      </c>
    </row>
    <row r="82" spans="1:10" ht="13">
      <c r="A82" s="101"/>
      <c r="B82" s="101"/>
      <c r="C82" s="101"/>
      <c r="D82" s="101"/>
      <c r="E82" s="101"/>
      <c r="F82" s="101"/>
      <c r="G82" s="101"/>
      <c r="H82" s="101"/>
      <c r="I82" s="101"/>
      <c r="J82" s="101"/>
    </row>
    <row r="83" spans="1:10" ht="16.149999999999999" customHeight="1">
      <c r="A83" s="112" t="s">
        <v>79</v>
      </c>
      <c r="B83" s="112"/>
      <c r="C83" s="112"/>
      <c r="D83" s="112"/>
      <c r="E83" s="112"/>
      <c r="F83" s="112"/>
      <c r="G83" s="112"/>
      <c r="H83" s="112"/>
      <c r="I83" s="112"/>
      <c r="J83" s="112"/>
    </row>
    <row r="84" spans="1:10" ht="15" customHeight="1">
      <c r="A84" s="119" t="s">
        <v>80</v>
      </c>
      <c r="B84" s="119"/>
      <c r="C84" s="119"/>
      <c r="D84" s="119"/>
      <c r="E84" s="119"/>
      <c r="F84" s="119"/>
      <c r="G84" s="119"/>
      <c r="H84" s="119"/>
      <c r="I84" s="119"/>
      <c r="J84" s="31">
        <f>J87+J30+J35+J36</f>
        <v>2314.21</v>
      </c>
    </row>
    <row r="85" spans="1:10" ht="14.65" customHeight="1">
      <c r="A85" s="120"/>
      <c r="B85" s="120"/>
      <c r="C85" s="120"/>
      <c r="D85" s="120"/>
      <c r="E85" s="120"/>
      <c r="F85" s="120"/>
      <c r="G85" s="120"/>
      <c r="H85" s="120"/>
      <c r="I85" s="120"/>
      <c r="J85" s="120"/>
    </row>
    <row r="86" spans="1:10" ht="14">
      <c r="A86" s="32" t="s">
        <v>81</v>
      </c>
      <c r="B86" s="113" t="s">
        <v>82</v>
      </c>
      <c r="C86" s="113"/>
      <c r="D86" s="113"/>
      <c r="E86" s="113"/>
      <c r="F86" s="113"/>
      <c r="G86" s="113"/>
      <c r="H86" s="113"/>
      <c r="I86" s="113"/>
      <c r="J86" s="32" t="s">
        <v>37</v>
      </c>
    </row>
    <row r="87" spans="1:10" ht="12.75" customHeight="1">
      <c r="A87" s="12" t="s">
        <v>5</v>
      </c>
      <c r="B87" s="109" t="s">
        <v>83</v>
      </c>
      <c r="C87" s="109"/>
      <c r="D87" s="109"/>
      <c r="E87" s="109"/>
      <c r="F87" s="109"/>
      <c r="G87" s="109"/>
      <c r="H87" s="109"/>
      <c r="I87" s="33">
        <f>12.1%-I36</f>
        <v>9.0749999999999997E-2</v>
      </c>
      <c r="J87" s="16">
        <f>ROUND(($J$30*I87),2)</f>
        <v>174.39</v>
      </c>
    </row>
    <row r="88" spans="1:10" ht="13">
      <c r="A88" s="12" t="s">
        <v>7</v>
      </c>
      <c r="B88" s="104" t="s">
        <v>131</v>
      </c>
      <c r="C88" s="104"/>
      <c r="D88" s="104"/>
      <c r="E88" s="104"/>
      <c r="F88" s="104"/>
      <c r="G88" s="104"/>
      <c r="H88" s="104"/>
      <c r="I88" s="104"/>
      <c r="J88" s="34">
        <f>J84/30*0.1/12</f>
        <v>0.64283611111111105</v>
      </c>
    </row>
    <row r="89" spans="1:10" ht="13">
      <c r="A89" s="12" t="s">
        <v>9</v>
      </c>
      <c r="B89" s="104" t="s">
        <v>84</v>
      </c>
      <c r="C89" s="104"/>
      <c r="D89" s="104"/>
      <c r="E89" s="104"/>
      <c r="F89" s="104"/>
      <c r="G89" s="104"/>
      <c r="H89" s="104"/>
      <c r="I89" s="104"/>
      <c r="J89" s="34">
        <f>J84/30*5/12*1.5%</f>
        <v>0.48212708333333332</v>
      </c>
    </row>
    <row r="90" spans="1:10" ht="13">
      <c r="A90" s="12" t="s">
        <v>12</v>
      </c>
      <c r="B90" s="104" t="s">
        <v>85</v>
      </c>
      <c r="C90" s="104"/>
      <c r="D90" s="104"/>
      <c r="E90" s="104"/>
      <c r="F90" s="104"/>
      <c r="G90" s="104"/>
      <c r="H90" s="104"/>
      <c r="I90" s="104"/>
      <c r="J90" s="13">
        <f>J84/30*15/12*0.78%</f>
        <v>0.75211824999999999</v>
      </c>
    </row>
    <row r="91" spans="1:10" ht="13">
      <c r="A91" s="12" t="s">
        <v>29</v>
      </c>
      <c r="B91" s="104" t="s">
        <v>86</v>
      </c>
      <c r="C91" s="104"/>
      <c r="D91" s="104"/>
      <c r="E91" s="104"/>
      <c r="F91" s="104"/>
      <c r="G91" s="104"/>
      <c r="H91" s="104"/>
      <c r="I91" s="104"/>
      <c r="J91" s="16">
        <f>(J30+J36)/12*4/12*1%</f>
        <v>0.54993055555555548</v>
      </c>
    </row>
    <row r="92" spans="1:10" ht="13">
      <c r="A92" s="35" t="s">
        <v>53</v>
      </c>
      <c r="B92" s="118" t="s">
        <v>87</v>
      </c>
      <c r="C92" s="118"/>
      <c r="D92" s="118"/>
      <c r="E92" s="118"/>
      <c r="F92" s="118"/>
      <c r="G92" s="118"/>
      <c r="H92" s="118"/>
      <c r="I92" s="118"/>
      <c r="J92" s="13">
        <f>J84/30*0.15/12</f>
        <v>0.96425416666666663</v>
      </c>
    </row>
    <row r="93" spans="1:10" ht="13">
      <c r="A93" s="105" t="s">
        <v>40</v>
      </c>
      <c r="B93" s="105"/>
      <c r="C93" s="105"/>
      <c r="D93" s="105"/>
      <c r="E93" s="105"/>
      <c r="F93" s="105"/>
      <c r="G93" s="105"/>
      <c r="H93" s="105"/>
      <c r="I93" s="105"/>
      <c r="J93" s="36">
        <f>SUM(J87:J92)</f>
        <v>177.78126616666665</v>
      </c>
    </row>
    <row r="94" spans="1:10" ht="14.65" customHeight="1">
      <c r="A94" s="12"/>
      <c r="B94" s="104"/>
      <c r="C94" s="104"/>
      <c r="D94" s="104"/>
      <c r="E94" s="104"/>
      <c r="F94" s="104"/>
      <c r="G94" s="104"/>
      <c r="H94" s="104"/>
      <c r="I94" s="104"/>
      <c r="J94" s="13"/>
    </row>
    <row r="95" spans="1:10" ht="13">
      <c r="A95" s="105" t="s">
        <v>40</v>
      </c>
      <c r="B95" s="105"/>
      <c r="C95" s="105"/>
      <c r="D95" s="105"/>
      <c r="E95" s="105"/>
      <c r="F95" s="105"/>
      <c r="G95" s="105"/>
      <c r="H95" s="105"/>
      <c r="I95" s="105"/>
      <c r="J95" s="14">
        <f>SUM(J93:J94)</f>
        <v>177.78126616666665</v>
      </c>
    </row>
    <row r="96" spans="1:10" ht="16.149999999999999" customHeight="1">
      <c r="A96" s="112" t="s">
        <v>88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14">
      <c r="A97" s="63" t="s">
        <v>89</v>
      </c>
      <c r="B97" s="113" t="s">
        <v>90</v>
      </c>
      <c r="C97" s="113"/>
      <c r="D97" s="113"/>
      <c r="E97" s="113"/>
      <c r="F97" s="113"/>
      <c r="G97" s="113"/>
      <c r="H97" s="113"/>
      <c r="I97" s="113"/>
      <c r="J97" s="37" t="s">
        <v>37</v>
      </c>
    </row>
    <row r="98" spans="1:10" ht="13">
      <c r="A98" s="8" t="s">
        <v>5</v>
      </c>
      <c r="B98" s="104" t="s">
        <v>91</v>
      </c>
      <c r="C98" s="104"/>
      <c r="D98" s="104"/>
      <c r="E98" s="104"/>
      <c r="F98" s="104"/>
      <c r="G98" s="104"/>
      <c r="H98" s="104"/>
      <c r="I98" s="104"/>
      <c r="J98" s="16">
        <v>0</v>
      </c>
    </row>
    <row r="99" spans="1:10" ht="13">
      <c r="A99" s="117" t="s">
        <v>40</v>
      </c>
      <c r="B99" s="117"/>
      <c r="C99" s="117"/>
      <c r="D99" s="117"/>
      <c r="E99" s="117"/>
      <c r="F99" s="117"/>
      <c r="G99" s="117"/>
      <c r="H99" s="117"/>
      <c r="I99" s="117"/>
      <c r="J99" s="16">
        <v>0</v>
      </c>
    </row>
    <row r="100" spans="1:10" ht="13">
      <c r="A100" s="12"/>
      <c r="B100" s="104"/>
      <c r="C100" s="104"/>
      <c r="D100" s="104"/>
      <c r="E100" s="104"/>
      <c r="F100" s="104"/>
      <c r="G100" s="104"/>
      <c r="H100" s="104"/>
      <c r="I100" s="104"/>
      <c r="J100" s="13"/>
    </row>
    <row r="101" spans="1:10" ht="13">
      <c r="A101" s="105" t="s">
        <v>40</v>
      </c>
      <c r="B101" s="105"/>
      <c r="C101" s="105"/>
      <c r="D101" s="105"/>
      <c r="E101" s="105"/>
      <c r="F101" s="105"/>
      <c r="G101" s="105"/>
      <c r="H101" s="105"/>
      <c r="I101" s="105"/>
      <c r="J101" s="14">
        <f>SUM(J99:J100)</f>
        <v>0</v>
      </c>
    </row>
    <row r="102" spans="1:10" ht="13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</row>
    <row r="103" spans="1:10" ht="16.149999999999999" customHeight="1">
      <c r="A103" s="112" t="s">
        <v>92</v>
      </c>
      <c r="B103" s="112"/>
      <c r="C103" s="112"/>
      <c r="D103" s="112"/>
      <c r="E103" s="112"/>
      <c r="F103" s="112"/>
      <c r="G103" s="112"/>
      <c r="H103" s="112"/>
      <c r="I103" s="112"/>
      <c r="J103" s="112"/>
    </row>
    <row r="104" spans="1:10" ht="16.149999999999999" customHeight="1">
      <c r="A104" s="64">
        <v>4</v>
      </c>
      <c r="B104" s="115" t="s">
        <v>93</v>
      </c>
      <c r="C104" s="115"/>
      <c r="D104" s="115"/>
      <c r="E104" s="115"/>
      <c r="F104" s="115"/>
      <c r="G104" s="115"/>
      <c r="H104" s="115"/>
      <c r="I104" s="115"/>
      <c r="J104" s="37" t="s">
        <v>37</v>
      </c>
    </row>
    <row r="105" spans="1:10" ht="14.65" customHeight="1">
      <c r="A105" s="1" t="s">
        <v>81</v>
      </c>
      <c r="B105" s="109" t="s">
        <v>94</v>
      </c>
      <c r="C105" s="109"/>
      <c r="D105" s="109"/>
      <c r="E105" s="109"/>
      <c r="F105" s="109"/>
      <c r="G105" s="109"/>
      <c r="H105" s="109"/>
      <c r="I105" s="109"/>
      <c r="J105" s="16">
        <f>J95</f>
        <v>177.78126616666665</v>
      </c>
    </row>
    <row r="106" spans="1:10" ht="14.65" customHeight="1">
      <c r="A106" s="1" t="s">
        <v>95</v>
      </c>
      <c r="B106" s="109" t="s">
        <v>96</v>
      </c>
      <c r="C106" s="109"/>
      <c r="D106" s="109"/>
      <c r="E106" s="109"/>
      <c r="F106" s="109"/>
      <c r="G106" s="109"/>
      <c r="H106" s="109"/>
      <c r="I106" s="109"/>
      <c r="J106" s="16">
        <f>J101</f>
        <v>0</v>
      </c>
    </row>
    <row r="107" spans="1:10" ht="14.65" customHeight="1">
      <c r="A107" s="116" t="s">
        <v>40</v>
      </c>
      <c r="B107" s="116"/>
      <c r="C107" s="116"/>
      <c r="D107" s="116"/>
      <c r="E107" s="116"/>
      <c r="F107" s="116"/>
      <c r="G107" s="116"/>
      <c r="H107" s="116"/>
      <c r="I107" s="116"/>
      <c r="J107" s="14">
        <f>SUM(J105+J106)</f>
        <v>177.78126616666665</v>
      </c>
    </row>
    <row r="108" spans="1:10" ht="13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</row>
    <row r="109" spans="1:10" ht="16.149999999999999" customHeight="1">
      <c r="A109" s="112" t="s">
        <v>97</v>
      </c>
      <c r="B109" s="112"/>
      <c r="C109" s="112"/>
      <c r="D109" s="112"/>
      <c r="E109" s="112"/>
      <c r="F109" s="112"/>
      <c r="G109" s="112"/>
      <c r="H109" s="112"/>
      <c r="I109" s="112"/>
      <c r="J109" s="112"/>
    </row>
    <row r="110" spans="1:10" ht="16.149999999999999" customHeight="1">
      <c r="A110" s="63">
        <v>5</v>
      </c>
      <c r="B110" s="113" t="s">
        <v>98</v>
      </c>
      <c r="C110" s="113"/>
      <c r="D110" s="113"/>
      <c r="E110" s="113"/>
      <c r="F110" s="113"/>
      <c r="G110" s="113"/>
      <c r="H110" s="113"/>
      <c r="I110" s="113"/>
      <c r="J110" s="63" t="s">
        <v>37</v>
      </c>
    </row>
    <row r="111" spans="1:10" ht="13">
      <c r="A111" s="8" t="s">
        <v>5</v>
      </c>
      <c r="B111" s="104" t="s">
        <v>185</v>
      </c>
      <c r="C111" s="104"/>
      <c r="D111" s="104"/>
      <c r="E111" s="104"/>
      <c r="F111" s="104"/>
      <c r="G111" s="104"/>
      <c r="H111" s="104"/>
      <c r="I111" s="104"/>
      <c r="J111" s="16">
        <f>Descritivo!E48</f>
        <v>91.369065656565652</v>
      </c>
    </row>
    <row r="112" spans="1:10" ht="13">
      <c r="A112" s="8" t="s">
        <v>7</v>
      </c>
      <c r="B112" s="104" t="s">
        <v>99</v>
      </c>
      <c r="C112" s="104"/>
      <c r="D112" s="104"/>
      <c r="E112" s="104"/>
      <c r="F112" s="104"/>
      <c r="G112" s="104"/>
      <c r="H112" s="104"/>
      <c r="I112" s="104"/>
      <c r="J112" s="27">
        <f>Descritivo!D93</f>
        <v>116.16919191919192</v>
      </c>
    </row>
    <row r="113" spans="1:10" ht="13">
      <c r="A113" s="8" t="s">
        <v>9</v>
      </c>
      <c r="B113" s="104" t="s">
        <v>139</v>
      </c>
      <c r="C113" s="104"/>
      <c r="D113" s="104"/>
      <c r="E113" s="104"/>
      <c r="F113" s="104"/>
      <c r="G113" s="104"/>
      <c r="H113" s="104"/>
      <c r="I113" s="104"/>
      <c r="J113" s="27">
        <f>Descritivo!C101</f>
        <v>36.363636363636367</v>
      </c>
    </row>
    <row r="114" spans="1:10" ht="13">
      <c r="A114" s="8" t="s">
        <v>12</v>
      </c>
      <c r="B114" s="104" t="s">
        <v>100</v>
      </c>
      <c r="C114" s="104"/>
      <c r="D114" s="104"/>
      <c r="E114" s="104"/>
      <c r="F114" s="104"/>
      <c r="G114" s="104"/>
      <c r="H114" s="104"/>
      <c r="I114" s="104"/>
      <c r="J114" s="27"/>
    </row>
    <row r="115" spans="1:10" ht="13">
      <c r="A115" s="105" t="s">
        <v>32</v>
      </c>
      <c r="B115" s="105"/>
      <c r="C115" s="105"/>
      <c r="D115" s="105"/>
      <c r="E115" s="105"/>
      <c r="F115" s="105"/>
      <c r="G115" s="105"/>
      <c r="H115" s="105"/>
      <c r="I115" s="105"/>
      <c r="J115" s="38">
        <f>SUM(J111:J114)</f>
        <v>243.90189393939394</v>
      </c>
    </row>
    <row r="116" spans="1:10" ht="13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</row>
    <row r="117" spans="1:10" ht="16.149999999999999" customHeight="1">
      <c r="A117" s="112" t="s">
        <v>101</v>
      </c>
      <c r="B117" s="112"/>
      <c r="C117" s="112"/>
      <c r="D117" s="112"/>
      <c r="E117" s="112"/>
      <c r="F117" s="112"/>
      <c r="G117" s="112"/>
      <c r="H117" s="112"/>
      <c r="I117" s="112"/>
      <c r="J117" s="112"/>
    </row>
    <row r="118" spans="1:10" ht="28">
      <c r="A118" s="63">
        <v>6</v>
      </c>
      <c r="B118" s="113" t="s">
        <v>102</v>
      </c>
      <c r="C118" s="113"/>
      <c r="D118" s="113"/>
      <c r="E118" s="113"/>
      <c r="F118" s="113"/>
      <c r="G118" s="113"/>
      <c r="H118" s="113"/>
      <c r="I118" s="64" t="s">
        <v>44</v>
      </c>
      <c r="J118" s="39" t="s">
        <v>103</v>
      </c>
    </row>
    <row r="119" spans="1:10" ht="12.75" customHeight="1">
      <c r="A119" s="111" t="s">
        <v>104</v>
      </c>
      <c r="B119" s="111"/>
      <c r="C119" s="111"/>
      <c r="D119" s="111"/>
      <c r="E119" s="111"/>
      <c r="F119" s="111"/>
      <c r="G119" s="111"/>
      <c r="H119" s="111"/>
      <c r="I119" s="40" t="s">
        <v>64</v>
      </c>
      <c r="J119" s="41">
        <f>SUM(J30+J71+J81+J107+J115)</f>
        <v>3950.7614017727269</v>
      </c>
    </row>
    <row r="120" spans="1:10" ht="15.5">
      <c r="A120" s="42" t="s">
        <v>5</v>
      </c>
      <c r="B120" s="110" t="s">
        <v>105</v>
      </c>
      <c r="C120" s="110"/>
      <c r="D120" s="110"/>
      <c r="E120" s="110"/>
      <c r="F120" s="110"/>
      <c r="G120" s="110"/>
      <c r="H120" s="110"/>
      <c r="I120" s="15">
        <v>0.1091</v>
      </c>
      <c r="J120" s="16">
        <f>ROUND(I120*J119,2)</f>
        <v>431.03</v>
      </c>
    </row>
    <row r="121" spans="1:10" ht="12.75" customHeight="1">
      <c r="A121" s="111" t="s">
        <v>106</v>
      </c>
      <c r="B121" s="111"/>
      <c r="C121" s="111"/>
      <c r="D121" s="111"/>
      <c r="E121" s="111"/>
      <c r="F121" s="111"/>
      <c r="G121" s="111"/>
      <c r="H121" s="111"/>
      <c r="I121" s="43" t="s">
        <v>64</v>
      </c>
      <c r="J121" s="41">
        <f>SUM(J30+J71+J81+J107+J115+J120)</f>
        <v>4381.7914017727271</v>
      </c>
    </row>
    <row r="122" spans="1:10" ht="15.5">
      <c r="A122" s="42" t="s">
        <v>7</v>
      </c>
      <c r="B122" s="110" t="s">
        <v>107</v>
      </c>
      <c r="C122" s="110"/>
      <c r="D122" s="110"/>
      <c r="E122" s="110"/>
      <c r="F122" s="110"/>
      <c r="G122" s="110"/>
      <c r="H122" s="110"/>
      <c r="I122" s="20">
        <v>0.15109700000000001</v>
      </c>
      <c r="J122" s="16">
        <f>ROUND(I122*J121,2)</f>
        <v>662.08</v>
      </c>
    </row>
    <row r="123" spans="1:10" ht="12.75" customHeight="1">
      <c r="A123" s="111" t="s">
        <v>108</v>
      </c>
      <c r="B123" s="111"/>
      <c r="C123" s="111"/>
      <c r="D123" s="111"/>
      <c r="E123" s="111"/>
      <c r="F123" s="111"/>
      <c r="G123" s="111"/>
      <c r="H123" s="111"/>
      <c r="I123" s="43" t="s">
        <v>64</v>
      </c>
      <c r="J123" s="41">
        <f>SUM(J30+J71+J81+J107+J115+J120+J122)</f>
        <v>5043.871401772727</v>
      </c>
    </row>
    <row r="124" spans="1:10" ht="15.5">
      <c r="A124" s="42" t="s">
        <v>9</v>
      </c>
      <c r="B124" s="110" t="s">
        <v>109</v>
      </c>
      <c r="C124" s="110"/>
      <c r="D124" s="110"/>
      <c r="E124" s="110"/>
      <c r="F124" s="110"/>
      <c r="G124" s="110"/>
      <c r="H124" s="110"/>
      <c r="I124" s="9" t="s">
        <v>64</v>
      </c>
      <c r="J124" s="51" t="s">
        <v>64</v>
      </c>
    </row>
    <row r="125" spans="1:10" ht="13">
      <c r="A125" s="8"/>
      <c r="B125" s="104" t="s">
        <v>110</v>
      </c>
      <c r="C125" s="104"/>
      <c r="D125" s="104"/>
      <c r="E125" s="104"/>
      <c r="F125" s="104"/>
      <c r="G125" s="104"/>
      <c r="H125" s="104"/>
      <c r="I125" s="9" t="s">
        <v>64</v>
      </c>
      <c r="J125" s="51" t="s">
        <v>64</v>
      </c>
    </row>
    <row r="126" spans="1:10" ht="13">
      <c r="A126" s="8"/>
      <c r="B126" s="104" t="s">
        <v>111</v>
      </c>
      <c r="C126" s="104"/>
      <c r="D126" s="104"/>
      <c r="E126" s="104"/>
      <c r="F126" s="104"/>
      <c r="G126" s="104"/>
      <c r="H126" s="104"/>
      <c r="I126" s="44">
        <v>0.03</v>
      </c>
      <c r="J126" s="16">
        <f>ROUND(($J$123/(1-$I$135))*I126,2)</f>
        <v>165.64</v>
      </c>
    </row>
    <row r="127" spans="1:10" ht="13">
      <c r="A127" s="8"/>
      <c r="B127" s="104" t="s">
        <v>112</v>
      </c>
      <c r="C127" s="104"/>
      <c r="D127" s="104"/>
      <c r="E127" s="104"/>
      <c r="F127" s="104"/>
      <c r="G127" s="104"/>
      <c r="H127" s="104"/>
      <c r="I127" s="44">
        <v>6.4999999999999997E-3</v>
      </c>
      <c r="J127" s="16">
        <f>ROUND(($J$123/(1-$I$135))*I127,2)</f>
        <v>35.89</v>
      </c>
    </row>
    <row r="128" spans="1:10" ht="27.65" customHeight="1">
      <c r="A128" s="8"/>
      <c r="B128" s="109" t="s">
        <v>113</v>
      </c>
      <c r="C128" s="109"/>
      <c r="D128" s="109"/>
      <c r="E128" s="109"/>
      <c r="F128" s="109"/>
      <c r="G128" s="109"/>
      <c r="H128" s="109"/>
      <c r="I128" s="45" t="s">
        <v>64</v>
      </c>
      <c r="J128" s="51" t="s">
        <v>64</v>
      </c>
    </row>
    <row r="129" spans="1:10" ht="27.65" customHeight="1">
      <c r="A129" s="8"/>
      <c r="B129" s="109" t="s">
        <v>114</v>
      </c>
      <c r="C129" s="109"/>
      <c r="D129" s="109"/>
      <c r="E129" s="109"/>
      <c r="F129" s="109"/>
      <c r="G129" s="109"/>
      <c r="H129" s="109"/>
      <c r="I129" s="45" t="s">
        <v>64</v>
      </c>
      <c r="J129" s="51" t="s">
        <v>64</v>
      </c>
    </row>
    <row r="130" spans="1:10" ht="13">
      <c r="A130" s="8"/>
      <c r="B130" s="104" t="s">
        <v>115</v>
      </c>
      <c r="C130" s="104"/>
      <c r="D130" s="104"/>
      <c r="E130" s="104"/>
      <c r="F130" s="104"/>
      <c r="G130" s="104"/>
      <c r="H130" s="104"/>
      <c r="I130" s="45" t="s">
        <v>64</v>
      </c>
      <c r="J130" s="51" t="s">
        <v>64</v>
      </c>
    </row>
    <row r="131" spans="1:10" ht="13">
      <c r="A131" s="8"/>
      <c r="B131" s="104" t="s">
        <v>116</v>
      </c>
      <c r="C131" s="104"/>
      <c r="D131" s="104"/>
      <c r="E131" s="104"/>
      <c r="F131" s="104"/>
      <c r="G131" s="104"/>
      <c r="H131" s="104"/>
      <c r="I131" s="45" t="s">
        <v>64</v>
      </c>
      <c r="J131" s="51" t="s">
        <v>64</v>
      </c>
    </row>
    <row r="132" spans="1:10" ht="13">
      <c r="A132" s="8"/>
      <c r="B132" s="104" t="s">
        <v>134</v>
      </c>
      <c r="C132" s="104"/>
      <c r="D132" s="104"/>
      <c r="E132" s="104"/>
      <c r="F132" s="104"/>
      <c r="G132" s="104"/>
      <c r="H132" s="104"/>
      <c r="I132" s="44">
        <v>0.05</v>
      </c>
      <c r="J132" s="16">
        <f>ROUND(($J$123/(1-$I$135))*I132,2)</f>
        <v>276.07</v>
      </c>
    </row>
    <row r="133" spans="1:10" ht="13">
      <c r="A133" s="105" t="s">
        <v>40</v>
      </c>
      <c r="B133" s="105"/>
      <c r="C133" s="105"/>
      <c r="D133" s="105"/>
      <c r="E133" s="105"/>
      <c r="F133" s="105"/>
      <c r="G133" s="105"/>
      <c r="H133" s="105"/>
      <c r="I133" s="105"/>
      <c r="J133" s="14">
        <f>SUM(J120+J122+J126+J127+J132)</f>
        <v>1570.71</v>
      </c>
    </row>
    <row r="134" spans="1:10" ht="13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</row>
    <row r="135" spans="1:10" ht="14.65" customHeight="1">
      <c r="A135" s="106" t="s">
        <v>117</v>
      </c>
      <c r="B135" s="106"/>
      <c r="C135" s="106"/>
      <c r="D135" s="106"/>
      <c r="E135" s="106"/>
      <c r="F135" s="106"/>
      <c r="G135" s="106"/>
      <c r="H135" s="106"/>
      <c r="I135" s="46">
        <f>SUM(I126:I132)</f>
        <v>8.6499999999999994E-2</v>
      </c>
      <c r="J135" s="41">
        <f>SUM(J126:J132)</f>
        <v>477.59999999999997</v>
      </c>
    </row>
    <row r="136" spans="1:10">
      <c r="A136" s="107" t="s">
        <v>118</v>
      </c>
      <c r="B136" s="107"/>
      <c r="C136" s="107"/>
      <c r="D136" s="108" t="s">
        <v>119</v>
      </c>
      <c r="E136" s="108"/>
      <c r="F136" s="108"/>
      <c r="G136" s="108"/>
      <c r="H136" s="108"/>
      <c r="I136" s="108"/>
      <c r="J136" s="108"/>
    </row>
    <row r="137" spans="1:10">
      <c r="A137" s="107"/>
      <c r="B137" s="107"/>
      <c r="C137" s="107"/>
      <c r="D137" s="108" t="s">
        <v>120</v>
      </c>
      <c r="E137" s="108"/>
      <c r="F137" s="108"/>
      <c r="G137" s="108"/>
      <c r="H137" s="108"/>
      <c r="I137" s="108"/>
      <c r="J137" s="108"/>
    </row>
    <row r="138" spans="1:10">
      <c r="A138" s="107"/>
      <c r="B138" s="107"/>
      <c r="C138" s="107"/>
      <c r="D138" s="108" t="s">
        <v>121</v>
      </c>
      <c r="E138" s="108"/>
      <c r="F138" s="108"/>
      <c r="G138" s="108"/>
      <c r="H138" s="108"/>
      <c r="I138" s="108"/>
      <c r="J138" s="108"/>
    </row>
    <row r="139" spans="1:10" ht="13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</row>
    <row r="140" spans="1:10" ht="46" customHeight="1">
      <c r="A140" s="102" t="s">
        <v>122</v>
      </c>
      <c r="B140" s="102"/>
      <c r="C140" s="102"/>
      <c r="D140" s="102"/>
      <c r="E140" s="102"/>
      <c r="F140" s="102"/>
      <c r="G140" s="102"/>
      <c r="H140" s="102"/>
      <c r="I140" s="102"/>
      <c r="J140" s="102"/>
    </row>
    <row r="141" spans="1:10" ht="14.65" customHeight="1">
      <c r="A141" s="103" t="s">
        <v>123</v>
      </c>
      <c r="B141" s="103"/>
      <c r="C141" s="103"/>
      <c r="D141" s="103"/>
      <c r="E141" s="103"/>
      <c r="F141" s="103"/>
      <c r="G141" s="103"/>
      <c r="H141" s="103"/>
      <c r="I141" s="103"/>
      <c r="J141" s="47" t="s">
        <v>37</v>
      </c>
    </row>
    <row r="142" spans="1:10" ht="14.65" customHeight="1">
      <c r="A142" s="48" t="s">
        <v>5</v>
      </c>
      <c r="B142" s="99" t="s">
        <v>124</v>
      </c>
      <c r="C142" s="99"/>
      <c r="D142" s="99"/>
      <c r="E142" s="99"/>
      <c r="F142" s="99"/>
      <c r="G142" s="99"/>
      <c r="H142" s="99"/>
      <c r="I142" s="99"/>
      <c r="J142" s="27">
        <f>J30</f>
        <v>1921.62</v>
      </c>
    </row>
    <row r="143" spans="1:10" ht="14.65" customHeight="1">
      <c r="A143" s="48" t="s">
        <v>7</v>
      </c>
      <c r="B143" s="99" t="s">
        <v>33</v>
      </c>
      <c r="C143" s="99"/>
      <c r="D143" s="99"/>
      <c r="E143" s="99"/>
      <c r="F143" s="99"/>
      <c r="G143" s="99"/>
      <c r="H143" s="99"/>
      <c r="I143" s="99"/>
      <c r="J143" s="27">
        <f>J71</f>
        <v>1526.0099999999998</v>
      </c>
    </row>
    <row r="144" spans="1:10" ht="14.65" customHeight="1">
      <c r="A144" s="48" t="s">
        <v>9</v>
      </c>
      <c r="B144" s="99" t="s">
        <v>125</v>
      </c>
      <c r="C144" s="99"/>
      <c r="D144" s="99"/>
      <c r="E144" s="99"/>
      <c r="F144" s="99"/>
      <c r="G144" s="99"/>
      <c r="H144" s="99"/>
      <c r="I144" s="99"/>
      <c r="J144" s="27">
        <f>J81</f>
        <v>81.448241666666661</v>
      </c>
    </row>
    <row r="145" spans="1:12" ht="14.65" customHeight="1">
      <c r="A145" s="48" t="s">
        <v>12</v>
      </c>
      <c r="B145" s="99" t="s">
        <v>126</v>
      </c>
      <c r="C145" s="99"/>
      <c r="D145" s="99"/>
      <c r="E145" s="99"/>
      <c r="F145" s="99"/>
      <c r="G145" s="99"/>
      <c r="H145" s="99"/>
      <c r="I145" s="99"/>
      <c r="J145" s="27">
        <f>J107</f>
        <v>177.78126616666665</v>
      </c>
    </row>
    <row r="146" spans="1:12" ht="14.65" customHeight="1">
      <c r="A146" s="48" t="s">
        <v>29</v>
      </c>
      <c r="B146" s="99" t="s">
        <v>127</v>
      </c>
      <c r="C146" s="99"/>
      <c r="D146" s="99"/>
      <c r="E146" s="99"/>
      <c r="F146" s="99"/>
      <c r="G146" s="99"/>
      <c r="H146" s="99"/>
      <c r="I146" s="99"/>
      <c r="J146" s="27">
        <f>J115</f>
        <v>243.90189393939394</v>
      </c>
    </row>
    <row r="147" spans="1:12" ht="14.65" customHeight="1">
      <c r="A147" s="100" t="s">
        <v>128</v>
      </c>
      <c r="B147" s="100"/>
      <c r="C147" s="100"/>
      <c r="D147" s="100"/>
      <c r="E147" s="100"/>
      <c r="F147" s="100"/>
      <c r="G147" s="100"/>
      <c r="H147" s="100"/>
      <c r="I147" s="100"/>
      <c r="J147" s="38">
        <f>SUM(J142:J146)</f>
        <v>3950.7614017727269</v>
      </c>
    </row>
    <row r="148" spans="1:12" ht="14.65" customHeight="1">
      <c r="A148" s="48" t="s">
        <v>53</v>
      </c>
      <c r="B148" s="99" t="s">
        <v>129</v>
      </c>
      <c r="C148" s="99"/>
      <c r="D148" s="99"/>
      <c r="E148" s="99"/>
      <c r="F148" s="99"/>
      <c r="G148" s="99"/>
      <c r="H148" s="99"/>
      <c r="I148" s="99"/>
      <c r="J148" s="27">
        <f>J133</f>
        <v>1570.71</v>
      </c>
    </row>
    <row r="149" spans="1:12" ht="14.65" customHeight="1">
      <c r="A149" s="100" t="s">
        <v>130</v>
      </c>
      <c r="B149" s="100"/>
      <c r="C149" s="100"/>
      <c r="D149" s="100"/>
      <c r="E149" s="100"/>
      <c r="F149" s="100"/>
      <c r="G149" s="100"/>
      <c r="H149" s="100"/>
      <c r="I149" s="100"/>
      <c r="J149" s="38">
        <f>SUM(J147:J148)</f>
        <v>5521.4714017727274</v>
      </c>
    </row>
    <row r="150" spans="1:12" ht="27.5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A1:J1"/>
    <mergeCell ref="A2:J2"/>
    <mergeCell ref="A3:G3"/>
    <mergeCell ref="H3:J3"/>
    <mergeCell ref="A4:G4"/>
    <mergeCell ref="H4:J4"/>
    <mergeCell ref="B61:H61"/>
    <mergeCell ref="B62:H62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60:H60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89C24-5C23-4527-B404-C2D316E6177F}">
  <sheetPr>
    <tabColor rgb="FF0070C0"/>
  </sheetPr>
  <dimension ref="A1:Q172"/>
  <sheetViews>
    <sheetView showGridLines="0" topLeftCell="A54" zoomScaleNormal="100" zoomScaleSheetLayoutView="100" zoomScalePageLayoutView="95" workbookViewId="0">
      <selection activeCell="J64" sqref="J64"/>
    </sheetView>
  </sheetViews>
  <sheetFormatPr defaultRowHeight="12.5"/>
  <cols>
    <col min="1" max="9" width="8.7265625" customWidth="1"/>
    <col min="10" max="10" width="15.453125" customWidth="1"/>
    <col min="11" max="11" width="17.453125" customWidth="1"/>
    <col min="12" max="12" width="17" customWidth="1"/>
    <col min="13" max="16" width="8.7265625" customWidth="1"/>
    <col min="17" max="17" width="10.81640625" customWidth="1"/>
    <col min="18" max="1025" width="8.7265625" customWidth="1"/>
  </cols>
  <sheetData>
    <row r="1" spans="1:12" ht="24.25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2" ht="46.5" customHeight="1">
      <c r="A2" s="136" t="s">
        <v>297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2" ht="14.65" customHeight="1">
      <c r="A3" s="109" t="s">
        <v>1</v>
      </c>
      <c r="B3" s="109"/>
      <c r="C3" s="109"/>
      <c r="D3" s="109"/>
      <c r="E3" s="109"/>
      <c r="F3" s="109"/>
      <c r="G3" s="109"/>
      <c r="H3" s="138" t="s">
        <v>145</v>
      </c>
      <c r="I3" s="139"/>
      <c r="J3" s="139"/>
    </row>
    <row r="4" spans="1:12" ht="14.65" customHeight="1">
      <c r="A4" s="109" t="s">
        <v>2</v>
      </c>
      <c r="B4" s="109"/>
      <c r="C4" s="109"/>
      <c r="D4" s="109"/>
      <c r="E4" s="109"/>
      <c r="F4" s="109"/>
      <c r="G4" s="109"/>
      <c r="H4" s="140" t="s">
        <v>144</v>
      </c>
      <c r="I4" s="139"/>
      <c r="J4" s="139"/>
    </row>
    <row r="5" spans="1:12" ht="14.65" customHeight="1">
      <c r="A5" s="109" t="s">
        <v>3</v>
      </c>
      <c r="B5" s="109"/>
      <c r="C5" s="109"/>
      <c r="D5" s="109"/>
      <c r="E5" s="109"/>
      <c r="F5" s="109"/>
      <c r="G5" s="109"/>
      <c r="H5" s="109"/>
      <c r="I5" s="109"/>
      <c r="J5" s="109"/>
    </row>
    <row r="6" spans="1:12" ht="16.149999999999999" customHeight="1">
      <c r="A6" s="142" t="s">
        <v>4</v>
      </c>
      <c r="B6" s="142"/>
      <c r="C6" s="142"/>
      <c r="D6" s="142"/>
      <c r="E6" s="142"/>
      <c r="F6" s="142"/>
      <c r="G6" s="142"/>
      <c r="H6" s="142"/>
      <c r="I6" s="142"/>
      <c r="J6" s="142"/>
    </row>
    <row r="7" spans="1:12" ht="14.65" customHeight="1">
      <c r="A7" s="1" t="s">
        <v>5</v>
      </c>
      <c r="B7" s="109" t="s">
        <v>6</v>
      </c>
      <c r="C7" s="109"/>
      <c r="D7" s="109"/>
      <c r="E7" s="109"/>
      <c r="F7" s="109"/>
      <c r="G7" s="109"/>
      <c r="H7" s="141">
        <v>44029</v>
      </c>
      <c r="I7" s="141"/>
      <c r="J7" s="141"/>
    </row>
    <row r="8" spans="1:12" ht="14.65" customHeight="1">
      <c r="A8" s="1" t="s">
        <v>7</v>
      </c>
      <c r="B8" s="109" t="s">
        <v>8</v>
      </c>
      <c r="C8" s="109"/>
      <c r="D8" s="109"/>
      <c r="E8" s="109"/>
      <c r="F8" s="109"/>
      <c r="G8" s="109"/>
      <c r="H8" s="141" t="s">
        <v>140</v>
      </c>
      <c r="I8" s="141"/>
      <c r="J8" s="141"/>
    </row>
    <row r="9" spans="1:12" ht="39" customHeight="1">
      <c r="A9" s="1" t="s">
        <v>9</v>
      </c>
      <c r="B9" s="109" t="s">
        <v>10</v>
      </c>
      <c r="C9" s="109"/>
      <c r="D9" s="109"/>
      <c r="E9" s="109"/>
      <c r="F9" s="109"/>
      <c r="G9" s="109"/>
      <c r="H9" s="141" t="s">
        <v>11</v>
      </c>
      <c r="I9" s="141"/>
      <c r="J9" s="141"/>
      <c r="L9" s="55"/>
    </row>
    <row r="10" spans="1:12" ht="14.65" customHeight="1">
      <c r="A10" s="1" t="s">
        <v>12</v>
      </c>
      <c r="B10" s="109" t="s">
        <v>13</v>
      </c>
      <c r="C10" s="109"/>
      <c r="D10" s="109"/>
      <c r="E10" s="109"/>
      <c r="F10" s="109"/>
      <c r="G10" s="109"/>
      <c r="H10" s="139">
        <v>12</v>
      </c>
      <c r="I10" s="139"/>
      <c r="J10" s="139"/>
    </row>
    <row r="11" spans="1:12" ht="13">
      <c r="A11" s="101"/>
      <c r="B11" s="101"/>
      <c r="C11" s="101"/>
      <c r="D11" s="101"/>
      <c r="E11" s="101"/>
      <c r="F11" s="101"/>
      <c r="G11" s="101"/>
      <c r="H11" s="101"/>
      <c r="I11" s="101"/>
      <c r="J11" s="101"/>
    </row>
    <row r="12" spans="1:12" ht="48.75" customHeight="1">
      <c r="A12" s="132" t="s">
        <v>14</v>
      </c>
      <c r="B12" s="132"/>
      <c r="C12" s="132"/>
      <c r="D12" s="132"/>
      <c r="E12" s="132"/>
      <c r="F12" s="132"/>
      <c r="G12" s="132"/>
      <c r="H12" s="132"/>
      <c r="I12" s="132"/>
      <c r="J12" s="132"/>
      <c r="L12" s="55"/>
    </row>
    <row r="13" spans="1:12" ht="13">
      <c r="A13" s="101"/>
      <c r="B13" s="101"/>
      <c r="C13" s="101"/>
      <c r="D13" s="101"/>
      <c r="E13" s="101"/>
      <c r="F13" s="101"/>
      <c r="G13" s="101"/>
      <c r="H13" s="101"/>
      <c r="I13" s="101"/>
      <c r="J13" s="101"/>
    </row>
    <row r="14" spans="1:12" ht="16.149999999999999" customHeight="1">
      <c r="A14" s="115" t="s">
        <v>15</v>
      </c>
      <c r="B14" s="115"/>
      <c r="C14" s="115"/>
      <c r="D14" s="115"/>
      <c r="E14" s="115"/>
      <c r="F14" s="115"/>
      <c r="G14" s="115"/>
      <c r="H14" s="115"/>
      <c r="I14" s="115"/>
      <c r="J14" s="115"/>
      <c r="L14" s="55"/>
    </row>
    <row r="15" spans="1:12" ht="16.149999999999999" customHeight="1">
      <c r="A15" s="1">
        <v>1</v>
      </c>
      <c r="B15" s="109" t="s">
        <v>16</v>
      </c>
      <c r="C15" s="109"/>
      <c r="D15" s="109"/>
      <c r="E15" s="109"/>
      <c r="F15" s="109"/>
      <c r="G15" s="109"/>
      <c r="H15" s="134" t="s">
        <v>17</v>
      </c>
      <c r="I15" s="134"/>
      <c r="J15" s="134"/>
    </row>
    <row r="16" spans="1:12" ht="16.149999999999999" customHeight="1">
      <c r="A16" s="1">
        <v>2</v>
      </c>
      <c r="B16" s="109" t="s">
        <v>18</v>
      </c>
      <c r="C16" s="109"/>
      <c r="D16" s="109"/>
      <c r="E16" s="109"/>
      <c r="F16" s="109"/>
      <c r="G16" s="109"/>
      <c r="H16" s="134">
        <v>9511</v>
      </c>
      <c r="I16" s="134"/>
      <c r="J16" s="134"/>
    </row>
    <row r="17" spans="1:17" ht="16.149999999999999" customHeight="1">
      <c r="A17" s="1">
        <v>3</v>
      </c>
      <c r="B17" s="109" t="s">
        <v>19</v>
      </c>
      <c r="C17" s="109"/>
      <c r="D17" s="109"/>
      <c r="E17" s="109"/>
      <c r="F17" s="109"/>
      <c r="G17" s="109"/>
      <c r="H17" s="143">
        <v>1601.35</v>
      </c>
      <c r="I17" s="143"/>
      <c r="J17" s="143"/>
    </row>
    <row r="18" spans="1:17" ht="16.149999999999999" customHeight="1">
      <c r="A18" s="1">
        <v>4</v>
      </c>
      <c r="B18" s="109" t="s">
        <v>20</v>
      </c>
      <c r="C18" s="109"/>
      <c r="D18" s="109"/>
      <c r="E18" s="109"/>
      <c r="F18" s="109"/>
      <c r="G18" s="109"/>
      <c r="H18" s="134" t="s">
        <v>173</v>
      </c>
      <c r="I18" s="134"/>
      <c r="J18" s="134"/>
    </row>
    <row r="19" spans="1:17" ht="16.149999999999999" customHeight="1">
      <c r="A19" s="1">
        <v>5</v>
      </c>
      <c r="B19" s="109" t="s">
        <v>21</v>
      </c>
      <c r="C19" s="109"/>
      <c r="D19" s="109"/>
      <c r="E19" s="109"/>
      <c r="F19" s="109"/>
      <c r="G19" s="109"/>
      <c r="H19" s="133" t="s">
        <v>141</v>
      </c>
      <c r="I19" s="133"/>
      <c r="J19" s="133"/>
    </row>
    <row r="20" spans="1:17" ht="16.149999999999999" customHeight="1">
      <c r="A20" s="1">
        <v>5</v>
      </c>
      <c r="B20" s="109" t="s">
        <v>133</v>
      </c>
      <c r="C20" s="109"/>
      <c r="D20" s="109"/>
      <c r="E20" s="109"/>
      <c r="F20" s="109"/>
      <c r="G20" s="109"/>
      <c r="H20" s="131">
        <v>44</v>
      </c>
      <c r="I20" s="131"/>
      <c r="J20" s="131"/>
    </row>
    <row r="21" spans="1:17" ht="13">
      <c r="A21" s="101"/>
      <c r="B21" s="101"/>
      <c r="C21" s="101"/>
      <c r="D21" s="101"/>
      <c r="E21" s="101"/>
      <c r="F21" s="101"/>
      <c r="G21" s="101"/>
      <c r="H21" s="101"/>
      <c r="I21" s="101"/>
      <c r="J21" s="101"/>
    </row>
    <row r="22" spans="1:17" ht="20.65" customHeight="1">
      <c r="A22" s="132" t="s">
        <v>22</v>
      </c>
      <c r="B22" s="132"/>
      <c r="C22" s="132"/>
      <c r="D22" s="132"/>
      <c r="E22" s="132"/>
      <c r="F22" s="132"/>
      <c r="G22" s="132"/>
      <c r="H22" s="132"/>
      <c r="I22" s="132"/>
      <c r="J22" s="132"/>
    </row>
    <row r="23" spans="1:17" ht="30.4" customHeight="1">
      <c r="A23" s="64">
        <v>1</v>
      </c>
      <c r="B23" s="115" t="s">
        <v>23</v>
      </c>
      <c r="C23" s="115"/>
      <c r="D23" s="115"/>
      <c r="E23" s="115"/>
      <c r="F23" s="115"/>
      <c r="G23" s="115"/>
      <c r="H23" s="115" t="s">
        <v>24</v>
      </c>
      <c r="I23" s="115"/>
      <c r="J23" s="64" t="s">
        <v>25</v>
      </c>
    </row>
    <row r="24" spans="1:17" ht="12.75" customHeight="1">
      <c r="A24" s="1" t="s">
        <v>5</v>
      </c>
      <c r="B24" s="109" t="s">
        <v>143</v>
      </c>
      <c r="C24" s="109"/>
      <c r="D24" s="109"/>
      <c r="E24" s="109"/>
      <c r="F24" s="109"/>
      <c r="G24" s="109"/>
      <c r="H24" s="109"/>
      <c r="I24" s="109"/>
      <c r="J24" s="2">
        <f>ROUND(H17/44*H20,2)</f>
        <v>1601.35</v>
      </c>
    </row>
    <row r="25" spans="1:17" ht="12.75" customHeight="1">
      <c r="A25" s="66" t="s">
        <v>7</v>
      </c>
      <c r="B25" s="109" t="s">
        <v>26</v>
      </c>
      <c r="C25" s="109"/>
      <c r="D25" s="109"/>
      <c r="E25" s="109"/>
      <c r="F25" s="109"/>
      <c r="G25" s="109"/>
      <c r="H25" s="109"/>
      <c r="I25" s="3"/>
      <c r="J25" s="2"/>
      <c r="K25" s="57"/>
    </row>
    <row r="26" spans="1:17" ht="12.75" customHeight="1">
      <c r="A26" s="66" t="s">
        <v>9</v>
      </c>
      <c r="B26" s="109" t="s">
        <v>27</v>
      </c>
      <c r="C26" s="109"/>
      <c r="D26" s="109"/>
      <c r="E26" s="109"/>
      <c r="F26" s="109"/>
      <c r="G26" s="109"/>
      <c r="H26" s="109"/>
      <c r="I26" s="109"/>
      <c r="J26" s="2"/>
    </row>
    <row r="27" spans="1:17" ht="12.75" customHeight="1">
      <c r="A27" s="66" t="s">
        <v>12</v>
      </c>
      <c r="B27" s="109" t="s">
        <v>28</v>
      </c>
      <c r="C27" s="109"/>
      <c r="D27" s="109"/>
      <c r="E27" s="109"/>
      <c r="F27" s="109"/>
      <c r="G27" s="109"/>
      <c r="H27" s="109"/>
      <c r="I27" s="109"/>
      <c r="J27" s="2"/>
    </row>
    <row r="28" spans="1:17" ht="12.75" customHeight="1">
      <c r="A28" s="66" t="s">
        <v>29</v>
      </c>
      <c r="B28" s="109" t="s">
        <v>30</v>
      </c>
      <c r="C28" s="109"/>
      <c r="D28" s="109"/>
      <c r="E28" s="109"/>
      <c r="F28" s="109"/>
      <c r="G28" s="109"/>
      <c r="H28" s="109"/>
      <c r="I28" s="109"/>
      <c r="J28" s="2"/>
      <c r="Q28" s="54"/>
    </row>
    <row r="29" spans="1:17" ht="12.75" customHeight="1">
      <c r="A29" s="1" t="s">
        <v>7</v>
      </c>
      <c r="B29" s="109" t="s">
        <v>31</v>
      </c>
      <c r="C29" s="109"/>
      <c r="D29" s="109"/>
      <c r="E29" s="109"/>
      <c r="F29" s="109"/>
      <c r="G29" s="109"/>
      <c r="H29" s="109"/>
      <c r="I29" s="4">
        <v>0.2</v>
      </c>
      <c r="J29" s="2">
        <f>I29*J24</f>
        <v>320.27</v>
      </c>
      <c r="Q29" s="54"/>
    </row>
    <row r="30" spans="1:17" ht="15.75" customHeight="1">
      <c r="A30" s="116" t="s">
        <v>32</v>
      </c>
      <c r="B30" s="116"/>
      <c r="C30" s="116"/>
      <c r="D30" s="116"/>
      <c r="E30" s="116"/>
      <c r="F30" s="116"/>
      <c r="G30" s="116"/>
      <c r="H30" s="116"/>
      <c r="I30" s="116"/>
      <c r="J30" s="5">
        <f>SUM(J24:J29)</f>
        <v>1921.62</v>
      </c>
    </row>
    <row r="31" spans="1:17" ht="13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Q31" s="54"/>
    </row>
    <row r="32" spans="1:17" ht="16.149999999999999" customHeight="1">
      <c r="A32" s="112" t="s">
        <v>33</v>
      </c>
      <c r="B32" s="112"/>
      <c r="C32" s="112"/>
      <c r="D32" s="112"/>
      <c r="E32" s="112"/>
      <c r="F32" s="112"/>
      <c r="G32" s="112"/>
      <c r="H32" s="112"/>
      <c r="I32" s="112"/>
      <c r="J32" s="112"/>
    </row>
    <row r="33" spans="1:13" ht="14">
      <c r="A33" s="129" t="s">
        <v>34</v>
      </c>
      <c r="B33" s="129"/>
      <c r="C33" s="129"/>
      <c r="D33" s="129"/>
      <c r="E33" s="129"/>
      <c r="F33" s="129"/>
      <c r="G33" s="129"/>
      <c r="H33" s="129"/>
      <c r="I33" s="129"/>
      <c r="J33" s="129"/>
    </row>
    <row r="34" spans="1:13" ht="14">
      <c r="A34" s="6" t="s">
        <v>35</v>
      </c>
      <c r="B34" s="130" t="s">
        <v>36</v>
      </c>
      <c r="C34" s="130"/>
      <c r="D34" s="130"/>
      <c r="E34" s="130"/>
      <c r="F34" s="130"/>
      <c r="G34" s="130"/>
      <c r="H34" s="130"/>
      <c r="I34" s="130"/>
      <c r="J34" s="7" t="s">
        <v>37</v>
      </c>
    </row>
    <row r="35" spans="1:13" ht="27.65" customHeight="1">
      <c r="A35" s="8" t="s">
        <v>5</v>
      </c>
      <c r="B35" s="109" t="s">
        <v>38</v>
      </c>
      <c r="C35" s="109"/>
      <c r="D35" s="109"/>
      <c r="E35" s="109"/>
      <c r="F35" s="109"/>
      <c r="G35" s="109"/>
      <c r="H35" s="109"/>
      <c r="I35" s="9">
        <v>8.3299999999999999E-2</v>
      </c>
      <c r="J35" s="10">
        <f>ROUND($J$30*I35,2)</f>
        <v>160.07</v>
      </c>
      <c r="M35" s="55"/>
    </row>
    <row r="36" spans="1:13" ht="36.25" customHeight="1">
      <c r="A36" s="8" t="s">
        <v>7</v>
      </c>
      <c r="B36" s="120" t="s">
        <v>39</v>
      </c>
      <c r="C36" s="120"/>
      <c r="D36" s="120"/>
      <c r="E36" s="120"/>
      <c r="F36" s="120"/>
      <c r="G36" s="120"/>
      <c r="H36" s="120"/>
      <c r="I36" s="11">
        <v>3.0249999999999999E-2</v>
      </c>
      <c r="J36" s="10">
        <f>ROUND($J$30*I36,2)</f>
        <v>58.13</v>
      </c>
    </row>
    <row r="37" spans="1:13" ht="13">
      <c r="A37" s="128" t="s">
        <v>40</v>
      </c>
      <c r="B37" s="128"/>
      <c r="C37" s="128"/>
      <c r="D37" s="128"/>
      <c r="E37" s="128"/>
      <c r="F37" s="128"/>
      <c r="G37" s="128"/>
      <c r="H37" s="128"/>
      <c r="I37" s="128"/>
      <c r="J37" s="65">
        <f>SUM(J35+J36)</f>
        <v>218.2</v>
      </c>
    </row>
    <row r="38" spans="1:13" ht="13">
      <c r="A38" s="101"/>
      <c r="B38" s="101"/>
      <c r="C38" s="101"/>
      <c r="D38" s="101"/>
      <c r="E38" s="101"/>
      <c r="F38" s="101"/>
      <c r="G38" s="101"/>
      <c r="H38" s="101"/>
      <c r="I38" s="101"/>
      <c r="J38" s="101"/>
    </row>
    <row r="39" spans="1:13" ht="30.4" customHeight="1">
      <c r="A39" s="112" t="s">
        <v>41</v>
      </c>
      <c r="B39" s="112"/>
      <c r="C39" s="112"/>
      <c r="D39" s="112"/>
      <c r="E39" s="112"/>
      <c r="F39" s="112"/>
      <c r="G39" s="112"/>
      <c r="H39" s="112"/>
      <c r="I39" s="112"/>
      <c r="J39" s="112"/>
    </row>
    <row r="40" spans="1:13" ht="30.4" customHeight="1">
      <c r="A40" s="63" t="s">
        <v>42</v>
      </c>
      <c r="B40" s="113" t="s">
        <v>43</v>
      </c>
      <c r="C40" s="113"/>
      <c r="D40" s="113"/>
      <c r="E40" s="113"/>
      <c r="F40" s="113"/>
      <c r="G40" s="113"/>
      <c r="H40" s="113"/>
      <c r="I40" s="64" t="s">
        <v>44</v>
      </c>
      <c r="J40" s="64" t="s">
        <v>45</v>
      </c>
    </row>
    <row r="41" spans="1:13" ht="13">
      <c r="A41" s="8" t="s">
        <v>5</v>
      </c>
      <c r="B41" s="104" t="s">
        <v>46</v>
      </c>
      <c r="C41" s="104"/>
      <c r="D41" s="104"/>
      <c r="E41" s="104"/>
      <c r="F41" s="104"/>
      <c r="G41" s="104"/>
      <c r="H41" s="104"/>
      <c r="I41" s="15">
        <v>0.2</v>
      </c>
      <c r="J41" s="16">
        <f>ROUND(($J$30+$J$37)*I41,2)</f>
        <v>427.96</v>
      </c>
    </row>
    <row r="42" spans="1:13" ht="13">
      <c r="A42" s="8" t="s">
        <v>7</v>
      </c>
      <c r="B42" s="104" t="s">
        <v>47</v>
      </c>
      <c r="C42" s="104"/>
      <c r="D42" s="104"/>
      <c r="E42" s="104"/>
      <c r="F42" s="104"/>
      <c r="G42" s="104"/>
      <c r="H42" s="104"/>
      <c r="I42" s="15">
        <v>2.5000000000000001E-2</v>
      </c>
      <c r="J42" s="16">
        <f t="shared" ref="J42:J48" si="0">ROUND(($J$30+$J$37)*I42,2)</f>
        <v>53.5</v>
      </c>
    </row>
    <row r="43" spans="1:13" ht="23.9" customHeight="1">
      <c r="A43" s="8" t="s">
        <v>9</v>
      </c>
      <c r="B43" s="109" t="s">
        <v>48</v>
      </c>
      <c r="C43" s="109"/>
      <c r="D43" s="109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21.4</v>
      </c>
    </row>
    <row r="44" spans="1:13" ht="13">
      <c r="A44" s="8" t="s">
        <v>12</v>
      </c>
      <c r="B44" s="104" t="s">
        <v>51</v>
      </c>
      <c r="C44" s="104"/>
      <c r="D44" s="104"/>
      <c r="E44" s="104"/>
      <c r="F44" s="104"/>
      <c r="G44" s="104"/>
      <c r="H44" s="104"/>
      <c r="I44" s="15">
        <v>1.4999999999999999E-2</v>
      </c>
      <c r="J44" s="16">
        <f t="shared" si="0"/>
        <v>32.1</v>
      </c>
    </row>
    <row r="45" spans="1:13" ht="13">
      <c r="A45" s="8" t="s">
        <v>29</v>
      </c>
      <c r="B45" s="104" t="s">
        <v>52</v>
      </c>
      <c r="C45" s="104"/>
      <c r="D45" s="104"/>
      <c r="E45" s="104"/>
      <c r="F45" s="104"/>
      <c r="G45" s="104"/>
      <c r="H45" s="104"/>
      <c r="I45" s="15">
        <v>0.01</v>
      </c>
      <c r="J45" s="16">
        <f t="shared" si="0"/>
        <v>21.4</v>
      </c>
    </row>
    <row r="46" spans="1:13" ht="13">
      <c r="A46" s="8" t="s">
        <v>53</v>
      </c>
      <c r="B46" s="104" t="s">
        <v>54</v>
      </c>
      <c r="C46" s="104"/>
      <c r="D46" s="104"/>
      <c r="E46" s="104"/>
      <c r="F46" s="104"/>
      <c r="G46" s="104"/>
      <c r="H46" s="104"/>
      <c r="I46" s="15">
        <v>6.0000000000000001E-3</v>
      </c>
      <c r="J46" s="16">
        <f t="shared" si="0"/>
        <v>12.84</v>
      </c>
    </row>
    <row r="47" spans="1:13" ht="13">
      <c r="A47" s="8" t="s">
        <v>55</v>
      </c>
      <c r="B47" s="104" t="s">
        <v>56</v>
      </c>
      <c r="C47" s="104"/>
      <c r="D47" s="104"/>
      <c r="E47" s="104"/>
      <c r="F47" s="104"/>
      <c r="G47" s="104"/>
      <c r="H47" s="104"/>
      <c r="I47" s="15">
        <v>2E-3</v>
      </c>
      <c r="J47" s="16">
        <f t="shared" si="0"/>
        <v>4.28</v>
      </c>
    </row>
    <row r="48" spans="1:13" ht="13">
      <c r="A48" s="8" t="s">
        <v>57</v>
      </c>
      <c r="B48" s="104" t="s">
        <v>58</v>
      </c>
      <c r="C48" s="104"/>
      <c r="D48" s="104"/>
      <c r="E48" s="104"/>
      <c r="F48" s="104"/>
      <c r="G48" s="104"/>
      <c r="H48" s="104"/>
      <c r="I48" s="15">
        <v>0.08</v>
      </c>
      <c r="J48" s="16">
        <f t="shared" si="0"/>
        <v>171.19</v>
      </c>
    </row>
    <row r="49" spans="1:12" ht="13">
      <c r="A49" s="105" t="s">
        <v>40</v>
      </c>
      <c r="B49" s="105"/>
      <c r="C49" s="105"/>
      <c r="D49" s="105"/>
      <c r="E49" s="105"/>
      <c r="F49" s="105"/>
      <c r="G49" s="105"/>
      <c r="H49" s="105"/>
      <c r="I49" s="21">
        <f>SUM(I41:I48)</f>
        <v>0.34800000000000003</v>
      </c>
      <c r="J49" s="14">
        <f>SUM(J41:J48)</f>
        <v>744.66999999999985</v>
      </c>
    </row>
    <row r="50" spans="1:12" ht="13">
      <c r="A50" s="101"/>
      <c r="B50" s="101"/>
      <c r="C50" s="101"/>
      <c r="D50" s="101"/>
      <c r="E50" s="101"/>
      <c r="F50" s="101"/>
      <c r="G50" s="101"/>
      <c r="H50" s="101"/>
      <c r="I50" s="101"/>
      <c r="J50" s="101"/>
    </row>
    <row r="51" spans="1:12" ht="16.149999999999999" customHeight="1">
      <c r="A51" s="112" t="s">
        <v>59</v>
      </c>
      <c r="B51" s="112"/>
      <c r="C51" s="112"/>
      <c r="D51" s="112"/>
      <c r="E51" s="112"/>
      <c r="F51" s="112"/>
      <c r="G51" s="112"/>
      <c r="H51" s="112"/>
      <c r="I51" s="112"/>
      <c r="J51" s="112"/>
      <c r="L51" s="53"/>
    </row>
    <row r="52" spans="1:12" ht="16.149999999999999" customHeight="1">
      <c r="A52" s="69" t="s">
        <v>60</v>
      </c>
      <c r="B52" s="113" t="s">
        <v>61</v>
      </c>
      <c r="C52" s="113"/>
      <c r="D52" s="113"/>
      <c r="E52" s="113"/>
      <c r="F52" s="113"/>
      <c r="G52" s="113"/>
      <c r="H52" s="113"/>
      <c r="I52" s="113"/>
      <c r="J52" s="68" t="s">
        <v>37</v>
      </c>
    </row>
    <row r="53" spans="1:12" ht="13">
      <c r="A53" s="8" t="s">
        <v>5</v>
      </c>
      <c r="B53" s="104" t="s">
        <v>62</v>
      </c>
      <c r="C53" s="104"/>
      <c r="D53" s="104"/>
      <c r="E53" s="104"/>
      <c r="F53" s="104"/>
      <c r="G53" s="104"/>
      <c r="H53" s="104"/>
      <c r="I53" s="104"/>
      <c r="J53" s="16">
        <f>IF(ROUND((I56*I54*I55)-(J24*0.06),2)&lt;0,0,ROUND((I56*I54*I55)-(J24*0.06),2))</f>
        <v>153.52000000000001</v>
      </c>
    </row>
    <row r="54" spans="1:12" ht="13">
      <c r="A54" s="8"/>
      <c r="B54" s="121" t="s">
        <v>63</v>
      </c>
      <c r="C54" s="121"/>
      <c r="D54" s="121"/>
      <c r="E54" s="121"/>
      <c r="F54" s="121"/>
      <c r="G54" s="121"/>
      <c r="H54" s="121"/>
      <c r="I54" s="22">
        <v>4.8</v>
      </c>
      <c r="J54" s="51" t="s">
        <v>64</v>
      </c>
    </row>
    <row r="55" spans="1:12" ht="13">
      <c r="A55" s="8"/>
      <c r="B55" s="121" t="s">
        <v>65</v>
      </c>
      <c r="C55" s="121"/>
      <c r="D55" s="121"/>
      <c r="E55" s="121"/>
      <c r="F55" s="121"/>
      <c r="G55" s="121"/>
      <c r="H55" s="121"/>
      <c r="I55" s="23">
        <v>2</v>
      </c>
      <c r="J55" s="51"/>
    </row>
    <row r="56" spans="1:12" ht="13">
      <c r="A56" s="8"/>
      <c r="B56" s="121" t="s">
        <v>66</v>
      </c>
      <c r="C56" s="121"/>
      <c r="D56" s="121"/>
      <c r="E56" s="121"/>
      <c r="F56" s="121"/>
      <c r="G56" s="121"/>
      <c r="H56" s="121"/>
      <c r="I56" s="24">
        <v>26</v>
      </c>
      <c r="J56" s="51"/>
    </row>
    <row r="57" spans="1:12" ht="13">
      <c r="A57" s="8" t="s">
        <v>7</v>
      </c>
      <c r="B57" s="104" t="s">
        <v>67</v>
      </c>
      <c r="C57" s="104"/>
      <c r="D57" s="104"/>
      <c r="E57" s="104"/>
      <c r="F57" s="104"/>
      <c r="G57" s="104"/>
      <c r="H57" s="104"/>
      <c r="I57" s="104"/>
      <c r="J57" s="16">
        <f>ROUND((I58*I59)-(I59*I58*I60),2)</f>
        <v>359.61</v>
      </c>
    </row>
    <row r="58" spans="1:12" ht="13">
      <c r="A58" s="8"/>
      <c r="B58" s="121" t="s">
        <v>68</v>
      </c>
      <c r="C58" s="121"/>
      <c r="D58" s="121"/>
      <c r="E58" s="121"/>
      <c r="F58" s="121"/>
      <c r="G58" s="121"/>
      <c r="H58" s="121"/>
      <c r="I58" s="22">
        <v>20.18</v>
      </c>
      <c r="J58" s="51" t="s">
        <v>64</v>
      </c>
    </row>
    <row r="59" spans="1:12" ht="13">
      <c r="A59" s="25"/>
      <c r="B59" s="121" t="s">
        <v>69</v>
      </c>
      <c r="C59" s="121"/>
      <c r="D59" s="121"/>
      <c r="E59" s="121"/>
      <c r="F59" s="121"/>
      <c r="G59" s="121"/>
      <c r="H59" s="121"/>
      <c r="I59" s="26">
        <v>22</v>
      </c>
      <c r="J59" s="51"/>
    </row>
    <row r="60" spans="1:12" ht="13">
      <c r="A60" s="25"/>
      <c r="B60" s="121" t="s">
        <v>132</v>
      </c>
      <c r="C60" s="121"/>
      <c r="D60" s="121"/>
      <c r="E60" s="121"/>
      <c r="F60" s="121"/>
      <c r="G60" s="121"/>
      <c r="H60" s="121"/>
      <c r="I60" s="52">
        <v>0.19</v>
      </c>
      <c r="J60" s="51"/>
    </row>
    <row r="61" spans="1:12" ht="27.65" customHeight="1">
      <c r="A61" s="8"/>
      <c r="B61" s="121" t="s">
        <v>208</v>
      </c>
      <c r="C61" s="121"/>
      <c r="D61" s="121"/>
      <c r="E61" s="121"/>
      <c r="F61" s="121"/>
      <c r="G61" s="121"/>
      <c r="H61" s="121"/>
      <c r="I61" s="22">
        <f>I58/2</f>
        <v>10.09</v>
      </c>
      <c r="J61" s="16">
        <f>ROUND((I61*I62)-(I61*I62*I60),2)</f>
        <v>32.69</v>
      </c>
    </row>
    <row r="62" spans="1:12" ht="27.65" customHeight="1">
      <c r="A62" s="25"/>
      <c r="B62" s="121" t="s">
        <v>69</v>
      </c>
      <c r="C62" s="121"/>
      <c r="D62" s="121"/>
      <c r="E62" s="121"/>
      <c r="F62" s="121"/>
      <c r="G62" s="121"/>
      <c r="H62" s="121"/>
      <c r="I62" s="26">
        <v>4</v>
      </c>
      <c r="J62" s="51"/>
      <c r="L62" s="50"/>
    </row>
    <row r="63" spans="1:12" ht="27.65" customHeight="1">
      <c r="A63" s="8" t="s">
        <v>12</v>
      </c>
      <c r="B63" s="122" t="s">
        <v>186</v>
      </c>
      <c r="C63" s="123"/>
      <c r="D63" s="123"/>
      <c r="E63" s="123"/>
      <c r="F63" s="123"/>
      <c r="G63" s="123"/>
      <c r="H63" s="123"/>
      <c r="I63" s="124"/>
      <c r="J63" s="27">
        <v>17.32</v>
      </c>
      <c r="L63" s="50"/>
    </row>
    <row r="64" spans="1:12" ht="13">
      <c r="A64" s="125" t="s">
        <v>32</v>
      </c>
      <c r="B64" s="126"/>
      <c r="C64" s="126"/>
      <c r="D64" s="126"/>
      <c r="E64" s="126"/>
      <c r="F64" s="126"/>
      <c r="G64" s="126"/>
      <c r="H64" s="126"/>
      <c r="I64" s="127"/>
      <c r="J64" s="14">
        <f>SUM(J53:J63)</f>
        <v>563.14</v>
      </c>
      <c r="L64" s="50"/>
    </row>
    <row r="65" spans="1:12" ht="13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L65" s="50"/>
    </row>
    <row r="66" spans="1:12" ht="16.149999999999999" customHeight="1">
      <c r="A66" s="112" t="s">
        <v>71</v>
      </c>
      <c r="B66" s="112"/>
      <c r="C66" s="112"/>
      <c r="D66" s="112"/>
      <c r="E66" s="112"/>
      <c r="F66" s="112"/>
      <c r="G66" s="112"/>
      <c r="H66" s="112"/>
      <c r="I66" s="112"/>
      <c r="J66" s="112"/>
      <c r="L66" s="50"/>
    </row>
    <row r="67" spans="1:12" ht="16.149999999999999" customHeight="1">
      <c r="A67" s="64">
        <v>2</v>
      </c>
      <c r="B67" s="115" t="s">
        <v>72</v>
      </c>
      <c r="C67" s="115"/>
      <c r="D67" s="115"/>
      <c r="E67" s="115"/>
      <c r="F67" s="115"/>
      <c r="G67" s="115"/>
      <c r="H67" s="115"/>
      <c r="I67" s="115"/>
      <c r="J67" s="64" t="s">
        <v>37</v>
      </c>
      <c r="L67" s="50"/>
    </row>
    <row r="68" spans="1:12" ht="14.65" customHeight="1">
      <c r="A68" s="1" t="s">
        <v>35</v>
      </c>
      <c r="B68" s="1"/>
      <c r="C68" s="109" t="s">
        <v>73</v>
      </c>
      <c r="D68" s="109"/>
      <c r="E68" s="109"/>
      <c r="F68" s="109"/>
      <c r="G68" s="109"/>
      <c r="H68" s="109"/>
      <c r="I68" s="109"/>
      <c r="J68" s="28">
        <f>J37</f>
        <v>218.2</v>
      </c>
      <c r="L68" s="50"/>
    </row>
    <row r="69" spans="1:12" ht="14.65" customHeight="1">
      <c r="A69" s="1" t="s">
        <v>42</v>
      </c>
      <c r="B69" s="1"/>
      <c r="C69" s="109" t="s">
        <v>43</v>
      </c>
      <c r="D69" s="109"/>
      <c r="E69" s="109"/>
      <c r="F69" s="109"/>
      <c r="G69" s="109"/>
      <c r="H69" s="109"/>
      <c r="I69" s="109"/>
      <c r="J69" s="28">
        <f>J49</f>
        <v>744.66999999999985</v>
      </c>
      <c r="L69" s="50"/>
    </row>
    <row r="70" spans="1:12" ht="14.65" customHeight="1">
      <c r="A70" s="1" t="s">
        <v>60</v>
      </c>
      <c r="B70" s="1"/>
      <c r="C70" s="109" t="s">
        <v>61</v>
      </c>
      <c r="D70" s="109"/>
      <c r="E70" s="109"/>
      <c r="F70" s="109"/>
      <c r="G70" s="109"/>
      <c r="H70" s="109"/>
      <c r="I70" s="109"/>
      <c r="J70" s="28">
        <f>J64</f>
        <v>563.14</v>
      </c>
      <c r="L70" s="50"/>
    </row>
    <row r="71" spans="1:12" ht="14.65" customHeight="1">
      <c r="A71" s="116" t="s">
        <v>40</v>
      </c>
      <c r="B71" s="116"/>
      <c r="C71" s="116"/>
      <c r="D71" s="116"/>
      <c r="E71" s="116"/>
      <c r="F71" s="116"/>
      <c r="G71" s="116"/>
      <c r="H71" s="116"/>
      <c r="I71" s="116"/>
      <c r="J71" s="29">
        <f>SUM(J68+J69+J70)</f>
        <v>1526.0099999999998</v>
      </c>
    </row>
    <row r="72" spans="1:12" ht="13">
      <c r="A72" s="101"/>
      <c r="B72" s="101"/>
      <c r="C72" s="101"/>
      <c r="D72" s="101"/>
      <c r="E72" s="101"/>
      <c r="F72" s="101"/>
      <c r="G72" s="101"/>
      <c r="H72" s="101"/>
      <c r="I72" s="101"/>
      <c r="J72" s="101"/>
    </row>
    <row r="73" spans="1:12" ht="16.149999999999999" customHeight="1">
      <c r="A73" s="112" t="s">
        <v>74</v>
      </c>
      <c r="B73" s="112"/>
      <c r="C73" s="112"/>
      <c r="D73" s="112"/>
      <c r="E73" s="112"/>
      <c r="F73" s="112"/>
      <c r="G73" s="112"/>
      <c r="H73" s="112"/>
      <c r="I73" s="112"/>
      <c r="J73" s="112"/>
    </row>
    <row r="74" spans="1:12" ht="16.149999999999999" customHeight="1">
      <c r="A74" s="63">
        <v>3</v>
      </c>
      <c r="B74" s="115" t="s">
        <v>75</v>
      </c>
      <c r="C74" s="115"/>
      <c r="D74" s="115"/>
      <c r="E74" s="115"/>
      <c r="F74" s="115"/>
      <c r="G74" s="115"/>
      <c r="H74" s="115"/>
      <c r="I74" s="115"/>
      <c r="J74" s="63" t="s">
        <v>76</v>
      </c>
    </row>
    <row r="75" spans="1:12" ht="46.5" customHeight="1">
      <c r="A75" s="8" t="s">
        <v>5</v>
      </c>
      <c r="B75" s="109" t="s">
        <v>135</v>
      </c>
      <c r="C75" s="109"/>
      <c r="D75" s="109"/>
      <c r="E75" s="109"/>
      <c r="F75" s="109"/>
      <c r="G75" s="109"/>
      <c r="H75" s="109"/>
      <c r="I75" s="109"/>
      <c r="J75" s="16">
        <f>ROUND(((J30)+(J35)+(J30/12)+(J36))/12*0.01,2)</f>
        <v>1.92</v>
      </c>
      <c r="L75" s="50"/>
    </row>
    <row r="76" spans="1:12" ht="14.65" customHeight="1">
      <c r="A76" s="8" t="s">
        <v>7</v>
      </c>
      <c r="B76" s="109" t="s">
        <v>77</v>
      </c>
      <c r="C76" s="109"/>
      <c r="D76" s="109"/>
      <c r="E76" s="109"/>
      <c r="F76" s="109"/>
      <c r="G76" s="109"/>
      <c r="H76" s="109"/>
      <c r="I76" s="109"/>
      <c r="J76" s="16">
        <f>ROUND($J$75*I48,2)</f>
        <v>0.15</v>
      </c>
    </row>
    <row r="77" spans="1:12" ht="36.25" customHeight="1">
      <c r="A77" s="8" t="s">
        <v>9</v>
      </c>
      <c r="B77" s="109" t="s">
        <v>136</v>
      </c>
      <c r="C77" s="109"/>
      <c r="D77" s="109"/>
      <c r="E77" s="109"/>
      <c r="F77" s="109"/>
      <c r="G77" s="109"/>
      <c r="H77" s="109"/>
      <c r="I77" s="30">
        <v>2.3999999999999998E-3</v>
      </c>
      <c r="J77" s="16">
        <f>ROUND($J$30*I77,2)</f>
        <v>4.6100000000000003</v>
      </c>
    </row>
    <row r="78" spans="1:12" ht="34.5" customHeight="1">
      <c r="A78" s="8" t="s">
        <v>12</v>
      </c>
      <c r="B78" s="109" t="s">
        <v>138</v>
      </c>
      <c r="C78" s="109"/>
      <c r="D78" s="109"/>
      <c r="E78" s="109"/>
      <c r="F78" s="109"/>
      <c r="G78" s="109"/>
      <c r="H78" s="109"/>
      <c r="I78" s="109"/>
      <c r="J78" s="16">
        <f>J30/30*7/12*0.05</f>
        <v>1.868241666666667</v>
      </c>
    </row>
    <row r="79" spans="1:12" ht="14.65" customHeight="1">
      <c r="A79" s="8" t="s">
        <v>29</v>
      </c>
      <c r="B79" s="109" t="s">
        <v>78</v>
      </c>
      <c r="C79" s="109"/>
      <c r="D79" s="109"/>
      <c r="E79" s="109"/>
      <c r="F79" s="109"/>
      <c r="G79" s="109"/>
      <c r="H79" s="109"/>
      <c r="I79" s="109"/>
      <c r="J79" s="16">
        <f>ROUND($I$49*J78,2)</f>
        <v>0.65</v>
      </c>
    </row>
    <row r="80" spans="1:12" ht="36.25" customHeight="1">
      <c r="A80" s="8" t="s">
        <v>53</v>
      </c>
      <c r="B80" s="109" t="s">
        <v>137</v>
      </c>
      <c r="C80" s="109"/>
      <c r="D80" s="109"/>
      <c r="E80" s="109"/>
      <c r="F80" s="109"/>
      <c r="G80" s="109"/>
      <c r="H80" s="109"/>
      <c r="I80" s="30">
        <v>3.7600000000000001E-2</v>
      </c>
      <c r="J80" s="16">
        <f>ROUND($J$30*I80,2)</f>
        <v>72.25</v>
      </c>
    </row>
    <row r="81" spans="1:10" ht="13">
      <c r="A81" s="105" t="s">
        <v>40</v>
      </c>
      <c r="B81" s="105"/>
      <c r="C81" s="105"/>
      <c r="D81" s="105"/>
      <c r="E81" s="105"/>
      <c r="F81" s="105"/>
      <c r="G81" s="105"/>
      <c r="H81" s="105"/>
      <c r="I81" s="105"/>
      <c r="J81" s="14">
        <f>SUM(J75:J80)</f>
        <v>81.448241666666661</v>
      </c>
    </row>
    <row r="82" spans="1:10" ht="13">
      <c r="A82" s="101"/>
      <c r="B82" s="101"/>
      <c r="C82" s="101"/>
      <c r="D82" s="101"/>
      <c r="E82" s="101"/>
      <c r="F82" s="101"/>
      <c r="G82" s="101"/>
      <c r="H82" s="101"/>
      <c r="I82" s="101"/>
      <c r="J82" s="101"/>
    </row>
    <row r="83" spans="1:10" ht="16.149999999999999" customHeight="1">
      <c r="A83" s="112" t="s">
        <v>79</v>
      </c>
      <c r="B83" s="112"/>
      <c r="C83" s="112"/>
      <c r="D83" s="112"/>
      <c r="E83" s="112"/>
      <c r="F83" s="112"/>
      <c r="G83" s="112"/>
      <c r="H83" s="112"/>
      <c r="I83" s="112"/>
      <c r="J83" s="112"/>
    </row>
    <row r="84" spans="1:10" ht="15" customHeight="1">
      <c r="A84" s="119" t="s">
        <v>80</v>
      </c>
      <c r="B84" s="119"/>
      <c r="C84" s="119"/>
      <c r="D84" s="119"/>
      <c r="E84" s="119"/>
      <c r="F84" s="119"/>
      <c r="G84" s="119"/>
      <c r="H84" s="119"/>
      <c r="I84" s="119"/>
      <c r="J84" s="31">
        <f>J87+J30+J35+J36</f>
        <v>2314.21</v>
      </c>
    </row>
    <row r="85" spans="1:10" ht="14.65" customHeight="1">
      <c r="A85" s="120"/>
      <c r="B85" s="120"/>
      <c r="C85" s="120"/>
      <c r="D85" s="120"/>
      <c r="E85" s="120"/>
      <c r="F85" s="120"/>
      <c r="G85" s="120"/>
      <c r="H85" s="120"/>
      <c r="I85" s="120"/>
      <c r="J85" s="120"/>
    </row>
    <row r="86" spans="1:10" ht="14">
      <c r="A86" s="32" t="s">
        <v>81</v>
      </c>
      <c r="B86" s="113" t="s">
        <v>82</v>
      </c>
      <c r="C86" s="113"/>
      <c r="D86" s="113"/>
      <c r="E86" s="113"/>
      <c r="F86" s="113"/>
      <c r="G86" s="113"/>
      <c r="H86" s="113"/>
      <c r="I86" s="113"/>
      <c r="J86" s="32" t="s">
        <v>37</v>
      </c>
    </row>
    <row r="87" spans="1:10" ht="12.75" customHeight="1">
      <c r="A87" s="12" t="s">
        <v>5</v>
      </c>
      <c r="B87" s="109" t="s">
        <v>83</v>
      </c>
      <c r="C87" s="109"/>
      <c r="D87" s="109"/>
      <c r="E87" s="109"/>
      <c r="F87" s="109"/>
      <c r="G87" s="109"/>
      <c r="H87" s="109"/>
      <c r="I87" s="33">
        <f>12.1%-I36</f>
        <v>9.0749999999999997E-2</v>
      </c>
      <c r="J87" s="16">
        <f>ROUND(($J$30*I87),2)</f>
        <v>174.39</v>
      </c>
    </row>
    <row r="88" spans="1:10" ht="13">
      <c r="A88" s="12" t="s">
        <v>7</v>
      </c>
      <c r="B88" s="104" t="s">
        <v>131</v>
      </c>
      <c r="C88" s="104"/>
      <c r="D88" s="104"/>
      <c r="E88" s="104"/>
      <c r="F88" s="104"/>
      <c r="G88" s="104"/>
      <c r="H88" s="104"/>
      <c r="I88" s="104"/>
      <c r="J88" s="34">
        <f>J84/30*0.1/12</f>
        <v>0.64283611111111105</v>
      </c>
    </row>
    <row r="89" spans="1:10" ht="13">
      <c r="A89" s="12" t="s">
        <v>9</v>
      </c>
      <c r="B89" s="104" t="s">
        <v>84</v>
      </c>
      <c r="C89" s="104"/>
      <c r="D89" s="104"/>
      <c r="E89" s="104"/>
      <c r="F89" s="104"/>
      <c r="G89" s="104"/>
      <c r="H89" s="104"/>
      <c r="I89" s="104"/>
      <c r="J89" s="34">
        <f>J84/30*5/12*1.5%</f>
        <v>0.48212708333333332</v>
      </c>
    </row>
    <row r="90" spans="1:10" ht="13">
      <c r="A90" s="12" t="s">
        <v>12</v>
      </c>
      <c r="B90" s="104" t="s">
        <v>85</v>
      </c>
      <c r="C90" s="104"/>
      <c r="D90" s="104"/>
      <c r="E90" s="104"/>
      <c r="F90" s="104"/>
      <c r="G90" s="104"/>
      <c r="H90" s="104"/>
      <c r="I90" s="104"/>
      <c r="J90" s="13">
        <f>J84/30*15/12*0.78%</f>
        <v>0.75211824999999999</v>
      </c>
    </row>
    <row r="91" spans="1:10" ht="13">
      <c r="A91" s="12" t="s">
        <v>29</v>
      </c>
      <c r="B91" s="104" t="s">
        <v>86</v>
      </c>
      <c r="C91" s="104"/>
      <c r="D91" s="104"/>
      <c r="E91" s="104"/>
      <c r="F91" s="104"/>
      <c r="G91" s="104"/>
      <c r="H91" s="104"/>
      <c r="I91" s="104"/>
      <c r="J91" s="16">
        <f>(J30+J36)/12*4/12*1%</f>
        <v>0.54993055555555548</v>
      </c>
    </row>
    <row r="92" spans="1:10" ht="13">
      <c r="A92" s="35" t="s">
        <v>53</v>
      </c>
      <c r="B92" s="118" t="s">
        <v>87</v>
      </c>
      <c r="C92" s="118"/>
      <c r="D92" s="118"/>
      <c r="E92" s="118"/>
      <c r="F92" s="118"/>
      <c r="G92" s="118"/>
      <c r="H92" s="118"/>
      <c r="I92" s="118"/>
      <c r="J92" s="13">
        <f>J84/30*0.15/12</f>
        <v>0.96425416666666663</v>
      </c>
    </row>
    <row r="93" spans="1:10" ht="13">
      <c r="A93" s="105" t="s">
        <v>40</v>
      </c>
      <c r="B93" s="105"/>
      <c r="C93" s="105"/>
      <c r="D93" s="105"/>
      <c r="E93" s="105"/>
      <c r="F93" s="105"/>
      <c r="G93" s="105"/>
      <c r="H93" s="105"/>
      <c r="I93" s="105"/>
      <c r="J93" s="36">
        <f>SUM(J87:J92)</f>
        <v>177.78126616666665</v>
      </c>
    </row>
    <row r="94" spans="1:10" ht="14.65" customHeight="1">
      <c r="A94" s="12"/>
      <c r="B94" s="104"/>
      <c r="C94" s="104"/>
      <c r="D94" s="104"/>
      <c r="E94" s="104"/>
      <c r="F94" s="104"/>
      <c r="G94" s="104"/>
      <c r="H94" s="104"/>
      <c r="I94" s="104"/>
      <c r="J94" s="13"/>
    </row>
    <row r="95" spans="1:10" ht="13">
      <c r="A95" s="105" t="s">
        <v>40</v>
      </c>
      <c r="B95" s="105"/>
      <c r="C95" s="105"/>
      <c r="D95" s="105"/>
      <c r="E95" s="105"/>
      <c r="F95" s="105"/>
      <c r="G95" s="105"/>
      <c r="H95" s="105"/>
      <c r="I95" s="105"/>
      <c r="J95" s="14">
        <f>SUM(J93:J94)</f>
        <v>177.78126616666665</v>
      </c>
    </row>
    <row r="96" spans="1:10" ht="16.149999999999999" customHeight="1">
      <c r="A96" s="112" t="s">
        <v>88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14">
      <c r="A97" s="63" t="s">
        <v>89</v>
      </c>
      <c r="B97" s="113" t="s">
        <v>90</v>
      </c>
      <c r="C97" s="113"/>
      <c r="D97" s="113"/>
      <c r="E97" s="113"/>
      <c r="F97" s="113"/>
      <c r="G97" s="113"/>
      <c r="H97" s="113"/>
      <c r="I97" s="113"/>
      <c r="J97" s="37" t="s">
        <v>37</v>
      </c>
    </row>
    <row r="98" spans="1:10" ht="13">
      <c r="A98" s="8" t="s">
        <v>5</v>
      </c>
      <c r="B98" s="104" t="s">
        <v>91</v>
      </c>
      <c r="C98" s="104"/>
      <c r="D98" s="104"/>
      <c r="E98" s="104"/>
      <c r="F98" s="104"/>
      <c r="G98" s="104"/>
      <c r="H98" s="104"/>
      <c r="I98" s="104"/>
      <c r="J98" s="16">
        <v>0</v>
      </c>
    </row>
    <row r="99" spans="1:10" ht="13">
      <c r="A99" s="117" t="s">
        <v>40</v>
      </c>
      <c r="B99" s="117"/>
      <c r="C99" s="117"/>
      <c r="D99" s="117"/>
      <c r="E99" s="117"/>
      <c r="F99" s="117"/>
      <c r="G99" s="117"/>
      <c r="H99" s="117"/>
      <c r="I99" s="117"/>
      <c r="J99" s="16">
        <v>0</v>
      </c>
    </row>
    <row r="100" spans="1:10" ht="13">
      <c r="A100" s="12"/>
      <c r="B100" s="104"/>
      <c r="C100" s="104"/>
      <c r="D100" s="104"/>
      <c r="E100" s="104"/>
      <c r="F100" s="104"/>
      <c r="G100" s="104"/>
      <c r="H100" s="104"/>
      <c r="I100" s="104"/>
      <c r="J100" s="13"/>
    </row>
    <row r="101" spans="1:10" ht="13">
      <c r="A101" s="105" t="s">
        <v>40</v>
      </c>
      <c r="B101" s="105"/>
      <c r="C101" s="105"/>
      <c r="D101" s="105"/>
      <c r="E101" s="105"/>
      <c r="F101" s="105"/>
      <c r="G101" s="105"/>
      <c r="H101" s="105"/>
      <c r="I101" s="105"/>
      <c r="J101" s="14">
        <f>SUM(J99:J100)</f>
        <v>0</v>
      </c>
    </row>
    <row r="102" spans="1:10" ht="13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</row>
    <row r="103" spans="1:10" ht="16.149999999999999" customHeight="1">
      <c r="A103" s="112" t="s">
        <v>92</v>
      </c>
      <c r="B103" s="112"/>
      <c r="C103" s="112"/>
      <c r="D103" s="112"/>
      <c r="E103" s="112"/>
      <c r="F103" s="112"/>
      <c r="G103" s="112"/>
      <c r="H103" s="112"/>
      <c r="I103" s="112"/>
      <c r="J103" s="112"/>
    </row>
    <row r="104" spans="1:10" ht="16.149999999999999" customHeight="1">
      <c r="A104" s="64">
        <v>4</v>
      </c>
      <c r="B104" s="115" t="s">
        <v>93</v>
      </c>
      <c r="C104" s="115"/>
      <c r="D104" s="115"/>
      <c r="E104" s="115"/>
      <c r="F104" s="115"/>
      <c r="G104" s="115"/>
      <c r="H104" s="115"/>
      <c r="I104" s="115"/>
      <c r="J104" s="37" t="s">
        <v>37</v>
      </c>
    </row>
    <row r="105" spans="1:10" ht="14.65" customHeight="1">
      <c r="A105" s="1" t="s">
        <v>81</v>
      </c>
      <c r="B105" s="109" t="s">
        <v>94</v>
      </c>
      <c r="C105" s="109"/>
      <c r="D105" s="109"/>
      <c r="E105" s="109"/>
      <c r="F105" s="109"/>
      <c r="G105" s="109"/>
      <c r="H105" s="109"/>
      <c r="I105" s="109"/>
      <c r="J105" s="16">
        <f>J95</f>
        <v>177.78126616666665</v>
      </c>
    </row>
    <row r="106" spans="1:10" ht="14.65" customHeight="1">
      <c r="A106" s="1" t="s">
        <v>95</v>
      </c>
      <c r="B106" s="109" t="s">
        <v>96</v>
      </c>
      <c r="C106" s="109"/>
      <c r="D106" s="109"/>
      <c r="E106" s="109"/>
      <c r="F106" s="109"/>
      <c r="G106" s="109"/>
      <c r="H106" s="109"/>
      <c r="I106" s="109"/>
      <c r="J106" s="16">
        <f>J101</f>
        <v>0</v>
      </c>
    </row>
    <row r="107" spans="1:10" ht="14.65" customHeight="1">
      <c r="A107" s="116" t="s">
        <v>40</v>
      </c>
      <c r="B107" s="116"/>
      <c r="C107" s="116"/>
      <c r="D107" s="116"/>
      <c r="E107" s="116"/>
      <c r="F107" s="116"/>
      <c r="G107" s="116"/>
      <c r="H107" s="116"/>
      <c r="I107" s="116"/>
      <c r="J107" s="14">
        <f>SUM(J105+J106)</f>
        <v>177.78126616666665</v>
      </c>
    </row>
    <row r="108" spans="1:10" ht="13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</row>
    <row r="109" spans="1:10" ht="16.149999999999999" customHeight="1">
      <c r="A109" s="112" t="s">
        <v>97</v>
      </c>
      <c r="B109" s="112"/>
      <c r="C109" s="112"/>
      <c r="D109" s="112"/>
      <c r="E109" s="112"/>
      <c r="F109" s="112"/>
      <c r="G109" s="112"/>
      <c r="H109" s="112"/>
      <c r="I109" s="112"/>
      <c r="J109" s="112"/>
    </row>
    <row r="110" spans="1:10" ht="16.149999999999999" customHeight="1">
      <c r="A110" s="63">
        <v>5</v>
      </c>
      <c r="B110" s="113" t="s">
        <v>98</v>
      </c>
      <c r="C110" s="113"/>
      <c r="D110" s="113"/>
      <c r="E110" s="113"/>
      <c r="F110" s="113"/>
      <c r="G110" s="113"/>
      <c r="H110" s="113"/>
      <c r="I110" s="113"/>
      <c r="J110" s="63" t="s">
        <v>37</v>
      </c>
    </row>
    <row r="111" spans="1:10" ht="13">
      <c r="A111" s="8" t="s">
        <v>5</v>
      </c>
      <c r="B111" s="104" t="s">
        <v>185</v>
      </c>
      <c r="C111" s="104"/>
      <c r="D111" s="104"/>
      <c r="E111" s="104"/>
      <c r="F111" s="104"/>
      <c r="G111" s="104"/>
      <c r="H111" s="104"/>
      <c r="I111" s="104"/>
      <c r="J111" s="16">
        <f>Descritivo!E48</f>
        <v>91.369065656565652</v>
      </c>
    </row>
    <row r="112" spans="1:10" ht="13">
      <c r="A112" s="8" t="s">
        <v>7</v>
      </c>
      <c r="B112" s="104" t="s">
        <v>99</v>
      </c>
      <c r="C112" s="104"/>
      <c r="D112" s="104"/>
      <c r="E112" s="104"/>
      <c r="F112" s="104"/>
      <c r="G112" s="104"/>
      <c r="H112" s="104"/>
      <c r="I112" s="104"/>
      <c r="J112" s="27">
        <f>Descritivo!D93</f>
        <v>116.16919191919192</v>
      </c>
    </row>
    <row r="113" spans="1:10" ht="13">
      <c r="A113" s="8" t="s">
        <v>9</v>
      </c>
      <c r="B113" s="104" t="s">
        <v>139</v>
      </c>
      <c r="C113" s="104"/>
      <c r="D113" s="104"/>
      <c r="E113" s="104"/>
      <c r="F113" s="104"/>
      <c r="G113" s="104"/>
      <c r="H113" s="104"/>
      <c r="I113" s="104"/>
      <c r="J113" s="27">
        <f>Descritivo!C101</f>
        <v>36.363636363636367</v>
      </c>
    </row>
    <row r="114" spans="1:10" ht="13">
      <c r="A114" s="8" t="s">
        <v>12</v>
      </c>
      <c r="B114" s="104" t="s">
        <v>100</v>
      </c>
      <c r="C114" s="104"/>
      <c r="D114" s="104"/>
      <c r="E114" s="104"/>
      <c r="F114" s="104"/>
      <c r="G114" s="104"/>
      <c r="H114" s="104"/>
      <c r="I114" s="104"/>
      <c r="J114" s="27"/>
    </row>
    <row r="115" spans="1:10" ht="13">
      <c r="A115" s="105" t="s">
        <v>32</v>
      </c>
      <c r="B115" s="105"/>
      <c r="C115" s="105"/>
      <c r="D115" s="105"/>
      <c r="E115" s="105"/>
      <c r="F115" s="105"/>
      <c r="G115" s="105"/>
      <c r="H115" s="105"/>
      <c r="I115" s="105"/>
      <c r="J115" s="38">
        <f>SUM(J111:J114)</f>
        <v>243.90189393939394</v>
      </c>
    </row>
    <row r="116" spans="1:10" ht="13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</row>
    <row r="117" spans="1:10" ht="16.149999999999999" customHeight="1">
      <c r="A117" s="112" t="s">
        <v>101</v>
      </c>
      <c r="B117" s="112"/>
      <c r="C117" s="112"/>
      <c r="D117" s="112"/>
      <c r="E117" s="112"/>
      <c r="F117" s="112"/>
      <c r="G117" s="112"/>
      <c r="H117" s="112"/>
      <c r="I117" s="112"/>
      <c r="J117" s="112"/>
    </row>
    <row r="118" spans="1:10" ht="28">
      <c r="A118" s="63">
        <v>6</v>
      </c>
      <c r="B118" s="113" t="s">
        <v>102</v>
      </c>
      <c r="C118" s="113"/>
      <c r="D118" s="113"/>
      <c r="E118" s="113"/>
      <c r="F118" s="113"/>
      <c r="G118" s="113"/>
      <c r="H118" s="113"/>
      <c r="I118" s="64" t="s">
        <v>44</v>
      </c>
      <c r="J118" s="39" t="s">
        <v>103</v>
      </c>
    </row>
    <row r="119" spans="1:10" ht="12.75" customHeight="1">
      <c r="A119" s="111" t="s">
        <v>104</v>
      </c>
      <c r="B119" s="111"/>
      <c r="C119" s="111"/>
      <c r="D119" s="111"/>
      <c r="E119" s="111"/>
      <c r="F119" s="111"/>
      <c r="G119" s="111"/>
      <c r="H119" s="111"/>
      <c r="I119" s="40" t="s">
        <v>64</v>
      </c>
      <c r="J119" s="41">
        <f>SUM(J30+J71+J81+J107+J115)</f>
        <v>3950.7614017727269</v>
      </c>
    </row>
    <row r="120" spans="1:10" ht="15.5">
      <c r="A120" s="42" t="s">
        <v>5</v>
      </c>
      <c r="B120" s="110" t="s">
        <v>105</v>
      </c>
      <c r="C120" s="110"/>
      <c r="D120" s="110"/>
      <c r="E120" s="110"/>
      <c r="F120" s="110"/>
      <c r="G120" s="110"/>
      <c r="H120" s="110"/>
      <c r="I120" s="15">
        <v>0.1091</v>
      </c>
      <c r="J120" s="16">
        <f>ROUND(I120*J119,2)</f>
        <v>431.03</v>
      </c>
    </row>
    <row r="121" spans="1:10" ht="12.75" customHeight="1">
      <c r="A121" s="111" t="s">
        <v>106</v>
      </c>
      <c r="B121" s="111"/>
      <c r="C121" s="111"/>
      <c r="D121" s="111"/>
      <c r="E121" s="111"/>
      <c r="F121" s="111"/>
      <c r="G121" s="111"/>
      <c r="H121" s="111"/>
      <c r="I121" s="43" t="s">
        <v>64</v>
      </c>
      <c r="J121" s="41">
        <f>SUM(J30+J71+J81+J107+J115+J120)</f>
        <v>4381.7914017727271</v>
      </c>
    </row>
    <row r="122" spans="1:10" ht="15.5">
      <c r="A122" s="42" t="s">
        <v>7</v>
      </c>
      <c r="B122" s="110" t="s">
        <v>107</v>
      </c>
      <c r="C122" s="110"/>
      <c r="D122" s="110"/>
      <c r="E122" s="110"/>
      <c r="F122" s="110"/>
      <c r="G122" s="110"/>
      <c r="H122" s="110"/>
      <c r="I122" s="20">
        <v>0.15109700000000001</v>
      </c>
      <c r="J122" s="16">
        <f>ROUND(I122*J121,2)</f>
        <v>662.08</v>
      </c>
    </row>
    <row r="123" spans="1:10" ht="12.75" customHeight="1">
      <c r="A123" s="111" t="s">
        <v>108</v>
      </c>
      <c r="B123" s="111"/>
      <c r="C123" s="111"/>
      <c r="D123" s="111"/>
      <c r="E123" s="111"/>
      <c r="F123" s="111"/>
      <c r="G123" s="111"/>
      <c r="H123" s="111"/>
      <c r="I123" s="43" t="s">
        <v>64</v>
      </c>
      <c r="J123" s="41">
        <f>SUM(J30+J71+J81+J107+J115+J120+J122)</f>
        <v>5043.871401772727</v>
      </c>
    </row>
    <row r="124" spans="1:10" ht="15.5">
      <c r="A124" s="42" t="s">
        <v>9</v>
      </c>
      <c r="B124" s="110" t="s">
        <v>109</v>
      </c>
      <c r="C124" s="110"/>
      <c r="D124" s="110"/>
      <c r="E124" s="110"/>
      <c r="F124" s="110"/>
      <c r="G124" s="110"/>
      <c r="H124" s="110"/>
      <c r="I124" s="9" t="s">
        <v>64</v>
      </c>
      <c r="J124" s="51" t="s">
        <v>64</v>
      </c>
    </row>
    <row r="125" spans="1:10" ht="13">
      <c r="A125" s="8"/>
      <c r="B125" s="104" t="s">
        <v>110</v>
      </c>
      <c r="C125" s="104"/>
      <c r="D125" s="104"/>
      <c r="E125" s="104"/>
      <c r="F125" s="104"/>
      <c r="G125" s="104"/>
      <c r="H125" s="104"/>
      <c r="I125" s="9" t="s">
        <v>64</v>
      </c>
      <c r="J125" s="51" t="s">
        <v>64</v>
      </c>
    </row>
    <row r="126" spans="1:10" ht="13">
      <c r="A126" s="8"/>
      <c r="B126" s="104" t="s">
        <v>111</v>
      </c>
      <c r="C126" s="104"/>
      <c r="D126" s="104"/>
      <c r="E126" s="104"/>
      <c r="F126" s="104"/>
      <c r="G126" s="104"/>
      <c r="H126" s="104"/>
      <c r="I126" s="44">
        <v>0.03</v>
      </c>
      <c r="J126" s="16">
        <f>ROUND(($J$123/(1-$I$135))*I126,2)</f>
        <v>165.64</v>
      </c>
    </row>
    <row r="127" spans="1:10" ht="13">
      <c r="A127" s="8"/>
      <c r="B127" s="104" t="s">
        <v>112</v>
      </c>
      <c r="C127" s="104"/>
      <c r="D127" s="104"/>
      <c r="E127" s="104"/>
      <c r="F127" s="104"/>
      <c r="G127" s="104"/>
      <c r="H127" s="104"/>
      <c r="I127" s="44">
        <v>6.4999999999999997E-3</v>
      </c>
      <c r="J127" s="16">
        <f>ROUND(($J$123/(1-$I$135))*I127,2)</f>
        <v>35.89</v>
      </c>
    </row>
    <row r="128" spans="1:10" ht="27.65" customHeight="1">
      <c r="A128" s="8"/>
      <c r="B128" s="109" t="s">
        <v>113</v>
      </c>
      <c r="C128" s="109"/>
      <c r="D128" s="109"/>
      <c r="E128" s="109"/>
      <c r="F128" s="109"/>
      <c r="G128" s="109"/>
      <c r="H128" s="109"/>
      <c r="I128" s="45" t="s">
        <v>64</v>
      </c>
      <c r="J128" s="51" t="s">
        <v>64</v>
      </c>
    </row>
    <row r="129" spans="1:10" ht="27.65" customHeight="1">
      <c r="A129" s="8"/>
      <c r="B129" s="109" t="s">
        <v>114</v>
      </c>
      <c r="C129" s="109"/>
      <c r="D129" s="109"/>
      <c r="E129" s="109"/>
      <c r="F129" s="109"/>
      <c r="G129" s="109"/>
      <c r="H129" s="109"/>
      <c r="I129" s="45" t="s">
        <v>64</v>
      </c>
      <c r="J129" s="51" t="s">
        <v>64</v>
      </c>
    </row>
    <row r="130" spans="1:10" ht="13">
      <c r="A130" s="8"/>
      <c r="B130" s="104" t="s">
        <v>115</v>
      </c>
      <c r="C130" s="104"/>
      <c r="D130" s="104"/>
      <c r="E130" s="104"/>
      <c r="F130" s="104"/>
      <c r="G130" s="104"/>
      <c r="H130" s="104"/>
      <c r="I130" s="45" t="s">
        <v>64</v>
      </c>
      <c r="J130" s="51" t="s">
        <v>64</v>
      </c>
    </row>
    <row r="131" spans="1:10" ht="13">
      <c r="A131" s="8"/>
      <c r="B131" s="104" t="s">
        <v>116</v>
      </c>
      <c r="C131" s="104"/>
      <c r="D131" s="104"/>
      <c r="E131" s="104"/>
      <c r="F131" s="104"/>
      <c r="G131" s="104"/>
      <c r="H131" s="104"/>
      <c r="I131" s="45" t="s">
        <v>64</v>
      </c>
      <c r="J131" s="51" t="s">
        <v>64</v>
      </c>
    </row>
    <row r="132" spans="1:10" ht="13">
      <c r="A132" s="8"/>
      <c r="B132" s="104" t="s">
        <v>134</v>
      </c>
      <c r="C132" s="104"/>
      <c r="D132" s="104"/>
      <c r="E132" s="104"/>
      <c r="F132" s="104"/>
      <c r="G132" s="104"/>
      <c r="H132" s="104"/>
      <c r="I132" s="44">
        <v>0.05</v>
      </c>
      <c r="J132" s="16">
        <f>ROUND(($J$123/(1-$I$135))*I132,2)</f>
        <v>276.07</v>
      </c>
    </row>
    <row r="133" spans="1:10" ht="13">
      <c r="A133" s="105" t="s">
        <v>40</v>
      </c>
      <c r="B133" s="105"/>
      <c r="C133" s="105"/>
      <c r="D133" s="105"/>
      <c r="E133" s="105"/>
      <c r="F133" s="105"/>
      <c r="G133" s="105"/>
      <c r="H133" s="105"/>
      <c r="I133" s="105"/>
      <c r="J133" s="14">
        <f>SUM(J120+J122+J126+J127+J132)</f>
        <v>1570.71</v>
      </c>
    </row>
    <row r="134" spans="1:10" ht="13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</row>
    <row r="135" spans="1:10" ht="14.65" customHeight="1">
      <c r="A135" s="106" t="s">
        <v>117</v>
      </c>
      <c r="B135" s="106"/>
      <c r="C135" s="106"/>
      <c r="D135" s="106"/>
      <c r="E135" s="106"/>
      <c r="F135" s="106"/>
      <c r="G135" s="106"/>
      <c r="H135" s="106"/>
      <c r="I135" s="46">
        <f>SUM(I126:I132)</f>
        <v>8.6499999999999994E-2</v>
      </c>
      <c r="J135" s="41">
        <f>SUM(J126:J132)</f>
        <v>477.59999999999997</v>
      </c>
    </row>
    <row r="136" spans="1:10">
      <c r="A136" s="107" t="s">
        <v>118</v>
      </c>
      <c r="B136" s="107"/>
      <c r="C136" s="107"/>
      <c r="D136" s="108" t="s">
        <v>119</v>
      </c>
      <c r="E136" s="108"/>
      <c r="F136" s="108"/>
      <c r="G136" s="108"/>
      <c r="H136" s="108"/>
      <c r="I136" s="108"/>
      <c r="J136" s="108"/>
    </row>
    <row r="137" spans="1:10">
      <c r="A137" s="107"/>
      <c r="B137" s="107"/>
      <c r="C137" s="107"/>
      <c r="D137" s="108" t="s">
        <v>120</v>
      </c>
      <c r="E137" s="108"/>
      <c r="F137" s="108"/>
      <c r="G137" s="108"/>
      <c r="H137" s="108"/>
      <c r="I137" s="108"/>
      <c r="J137" s="108"/>
    </row>
    <row r="138" spans="1:10">
      <c r="A138" s="107"/>
      <c r="B138" s="107"/>
      <c r="C138" s="107"/>
      <c r="D138" s="108" t="s">
        <v>121</v>
      </c>
      <c r="E138" s="108"/>
      <c r="F138" s="108"/>
      <c r="G138" s="108"/>
      <c r="H138" s="108"/>
      <c r="I138" s="108"/>
      <c r="J138" s="108"/>
    </row>
    <row r="139" spans="1:10" ht="13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</row>
    <row r="140" spans="1:10" ht="46" customHeight="1">
      <c r="A140" s="102" t="s">
        <v>122</v>
      </c>
      <c r="B140" s="102"/>
      <c r="C140" s="102"/>
      <c r="D140" s="102"/>
      <c r="E140" s="102"/>
      <c r="F140" s="102"/>
      <c r="G140" s="102"/>
      <c r="H140" s="102"/>
      <c r="I140" s="102"/>
      <c r="J140" s="102"/>
    </row>
    <row r="141" spans="1:10" ht="14.65" customHeight="1">
      <c r="A141" s="103" t="s">
        <v>123</v>
      </c>
      <c r="B141" s="103"/>
      <c r="C141" s="103"/>
      <c r="D141" s="103"/>
      <c r="E141" s="103"/>
      <c r="F141" s="103"/>
      <c r="G141" s="103"/>
      <c r="H141" s="103"/>
      <c r="I141" s="103"/>
      <c r="J141" s="47" t="s">
        <v>37</v>
      </c>
    </row>
    <row r="142" spans="1:10" ht="14.65" customHeight="1">
      <c r="A142" s="48" t="s">
        <v>5</v>
      </c>
      <c r="B142" s="99" t="s">
        <v>124</v>
      </c>
      <c r="C142" s="99"/>
      <c r="D142" s="99"/>
      <c r="E142" s="99"/>
      <c r="F142" s="99"/>
      <c r="G142" s="99"/>
      <c r="H142" s="99"/>
      <c r="I142" s="99"/>
      <c r="J142" s="27">
        <f>J30</f>
        <v>1921.62</v>
      </c>
    </row>
    <row r="143" spans="1:10" ht="14.65" customHeight="1">
      <c r="A143" s="48" t="s">
        <v>7</v>
      </c>
      <c r="B143" s="99" t="s">
        <v>33</v>
      </c>
      <c r="C143" s="99"/>
      <c r="D143" s="99"/>
      <c r="E143" s="99"/>
      <c r="F143" s="99"/>
      <c r="G143" s="99"/>
      <c r="H143" s="99"/>
      <c r="I143" s="99"/>
      <c r="J143" s="27">
        <f>J71</f>
        <v>1526.0099999999998</v>
      </c>
    </row>
    <row r="144" spans="1:10" ht="14.65" customHeight="1">
      <c r="A144" s="48" t="s">
        <v>9</v>
      </c>
      <c r="B144" s="99" t="s">
        <v>125</v>
      </c>
      <c r="C144" s="99"/>
      <c r="D144" s="99"/>
      <c r="E144" s="99"/>
      <c r="F144" s="99"/>
      <c r="G144" s="99"/>
      <c r="H144" s="99"/>
      <c r="I144" s="99"/>
      <c r="J144" s="27">
        <f>J81</f>
        <v>81.448241666666661</v>
      </c>
    </row>
    <row r="145" spans="1:12" ht="14.65" customHeight="1">
      <c r="A145" s="48" t="s">
        <v>12</v>
      </c>
      <c r="B145" s="99" t="s">
        <v>126</v>
      </c>
      <c r="C145" s="99"/>
      <c r="D145" s="99"/>
      <c r="E145" s="99"/>
      <c r="F145" s="99"/>
      <c r="G145" s="99"/>
      <c r="H145" s="99"/>
      <c r="I145" s="99"/>
      <c r="J145" s="27">
        <f>J107</f>
        <v>177.78126616666665</v>
      </c>
    </row>
    <row r="146" spans="1:12" ht="14.65" customHeight="1">
      <c r="A146" s="48" t="s">
        <v>29</v>
      </c>
      <c r="B146" s="99" t="s">
        <v>127</v>
      </c>
      <c r="C146" s="99"/>
      <c r="D146" s="99"/>
      <c r="E146" s="99"/>
      <c r="F146" s="99"/>
      <c r="G146" s="99"/>
      <c r="H146" s="99"/>
      <c r="I146" s="99"/>
      <c r="J146" s="27">
        <f>J115</f>
        <v>243.90189393939394</v>
      </c>
    </row>
    <row r="147" spans="1:12" ht="14.65" customHeight="1">
      <c r="A147" s="100" t="s">
        <v>128</v>
      </c>
      <c r="B147" s="100"/>
      <c r="C147" s="100"/>
      <c r="D147" s="100"/>
      <c r="E147" s="100"/>
      <c r="F147" s="100"/>
      <c r="G147" s="100"/>
      <c r="H147" s="100"/>
      <c r="I147" s="100"/>
      <c r="J147" s="38">
        <f>SUM(J142:J146)</f>
        <v>3950.7614017727269</v>
      </c>
    </row>
    <row r="148" spans="1:12" ht="14.65" customHeight="1">
      <c r="A148" s="48" t="s">
        <v>53</v>
      </c>
      <c r="B148" s="99" t="s">
        <v>129</v>
      </c>
      <c r="C148" s="99"/>
      <c r="D148" s="99"/>
      <c r="E148" s="99"/>
      <c r="F148" s="99"/>
      <c r="G148" s="99"/>
      <c r="H148" s="99"/>
      <c r="I148" s="99"/>
      <c r="J148" s="27">
        <f>J133</f>
        <v>1570.71</v>
      </c>
    </row>
    <row r="149" spans="1:12" ht="14.65" customHeight="1">
      <c r="A149" s="100" t="s">
        <v>130</v>
      </c>
      <c r="B149" s="100"/>
      <c r="C149" s="100"/>
      <c r="D149" s="100"/>
      <c r="E149" s="100"/>
      <c r="F149" s="100"/>
      <c r="G149" s="100"/>
      <c r="H149" s="100"/>
      <c r="I149" s="100"/>
      <c r="J149" s="38">
        <f>SUM(J147:J148)</f>
        <v>5521.4714017727274</v>
      </c>
    </row>
    <row r="150" spans="1:12" ht="27.5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A1:J1"/>
    <mergeCell ref="A2:J2"/>
    <mergeCell ref="A3:G3"/>
    <mergeCell ref="H3:J3"/>
    <mergeCell ref="A4:G4"/>
    <mergeCell ref="H4:J4"/>
    <mergeCell ref="B61:H61"/>
    <mergeCell ref="B62:H62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60:H60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E9BDD-2E16-46B8-B0A0-E516F117FB94}">
  <sheetPr>
    <tabColor rgb="FF0070C0"/>
  </sheetPr>
  <dimension ref="A1:Q172"/>
  <sheetViews>
    <sheetView showGridLines="0" view="pageBreakPreview" topLeftCell="A37" zoomScaleNormal="100" zoomScaleSheetLayoutView="100" zoomScalePageLayoutView="95" workbookViewId="0">
      <selection activeCell="J64" sqref="J64"/>
    </sheetView>
  </sheetViews>
  <sheetFormatPr defaultRowHeight="12.5"/>
  <cols>
    <col min="1" max="9" width="8.7265625" customWidth="1"/>
    <col min="10" max="10" width="15.453125" customWidth="1"/>
    <col min="11" max="11" width="17.453125" customWidth="1"/>
    <col min="12" max="12" width="17" customWidth="1"/>
    <col min="13" max="16" width="8.7265625" customWidth="1"/>
    <col min="17" max="17" width="10.81640625" customWidth="1"/>
    <col min="18" max="1025" width="8.7265625" customWidth="1"/>
  </cols>
  <sheetData>
    <row r="1" spans="1:12" ht="24.25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2" ht="46.5" customHeight="1">
      <c r="A2" s="136" t="s">
        <v>297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2" ht="14.65" customHeight="1">
      <c r="A3" s="109" t="s">
        <v>1</v>
      </c>
      <c r="B3" s="109"/>
      <c r="C3" s="109"/>
      <c r="D3" s="109"/>
      <c r="E3" s="109"/>
      <c r="F3" s="109"/>
      <c r="G3" s="109"/>
      <c r="H3" s="138" t="s">
        <v>145</v>
      </c>
      <c r="I3" s="139"/>
      <c r="J3" s="139"/>
    </row>
    <row r="4" spans="1:12" ht="14.65" customHeight="1">
      <c r="A4" s="109" t="s">
        <v>2</v>
      </c>
      <c r="B4" s="109"/>
      <c r="C4" s="109"/>
      <c r="D4" s="109"/>
      <c r="E4" s="109"/>
      <c r="F4" s="109"/>
      <c r="G4" s="109"/>
      <c r="H4" s="140" t="s">
        <v>144</v>
      </c>
      <c r="I4" s="139"/>
      <c r="J4" s="139"/>
    </row>
    <row r="5" spans="1:12" ht="14.65" customHeight="1">
      <c r="A5" s="109" t="s">
        <v>3</v>
      </c>
      <c r="B5" s="109"/>
      <c r="C5" s="109"/>
      <c r="D5" s="109"/>
      <c r="E5" s="109"/>
      <c r="F5" s="109"/>
      <c r="G5" s="109"/>
      <c r="H5" s="109"/>
      <c r="I5" s="109"/>
      <c r="J5" s="109"/>
    </row>
    <row r="6" spans="1:12" ht="16.149999999999999" customHeight="1">
      <c r="A6" s="142" t="s">
        <v>4</v>
      </c>
      <c r="B6" s="142"/>
      <c r="C6" s="142"/>
      <c r="D6" s="142"/>
      <c r="E6" s="142"/>
      <c r="F6" s="142"/>
      <c r="G6" s="142"/>
      <c r="H6" s="142"/>
      <c r="I6" s="142"/>
      <c r="J6" s="142"/>
    </row>
    <row r="7" spans="1:12" ht="14.65" customHeight="1">
      <c r="A7" s="1" t="s">
        <v>5</v>
      </c>
      <c r="B7" s="109" t="s">
        <v>6</v>
      </c>
      <c r="C7" s="109"/>
      <c r="D7" s="109"/>
      <c r="E7" s="109"/>
      <c r="F7" s="109"/>
      <c r="G7" s="109"/>
      <c r="H7" s="141">
        <v>44029</v>
      </c>
      <c r="I7" s="141"/>
      <c r="J7" s="141"/>
    </row>
    <row r="8" spans="1:12" ht="14.65" customHeight="1">
      <c r="A8" s="1" t="s">
        <v>7</v>
      </c>
      <c r="B8" s="109" t="s">
        <v>8</v>
      </c>
      <c r="C8" s="109"/>
      <c r="D8" s="109"/>
      <c r="E8" s="109"/>
      <c r="F8" s="109"/>
      <c r="G8" s="109"/>
      <c r="H8" s="141" t="s">
        <v>140</v>
      </c>
      <c r="I8" s="141"/>
      <c r="J8" s="141"/>
    </row>
    <row r="9" spans="1:12" ht="39" customHeight="1">
      <c r="A9" s="1" t="s">
        <v>9</v>
      </c>
      <c r="B9" s="109" t="s">
        <v>10</v>
      </c>
      <c r="C9" s="109"/>
      <c r="D9" s="109"/>
      <c r="E9" s="109"/>
      <c r="F9" s="109"/>
      <c r="G9" s="109"/>
      <c r="H9" s="141" t="s">
        <v>11</v>
      </c>
      <c r="I9" s="141"/>
      <c r="J9" s="141"/>
      <c r="L9" s="55"/>
    </row>
    <row r="10" spans="1:12" ht="14.65" customHeight="1">
      <c r="A10" s="1" t="s">
        <v>12</v>
      </c>
      <c r="B10" s="109" t="s">
        <v>13</v>
      </c>
      <c r="C10" s="109"/>
      <c r="D10" s="109"/>
      <c r="E10" s="109"/>
      <c r="F10" s="109"/>
      <c r="G10" s="109"/>
      <c r="H10" s="139">
        <v>12</v>
      </c>
      <c r="I10" s="139"/>
      <c r="J10" s="139"/>
    </row>
    <row r="11" spans="1:12" ht="13">
      <c r="A11" s="101"/>
      <c r="B11" s="101"/>
      <c r="C11" s="101"/>
      <c r="D11" s="101"/>
      <c r="E11" s="101"/>
      <c r="F11" s="101"/>
      <c r="G11" s="101"/>
      <c r="H11" s="101"/>
      <c r="I11" s="101"/>
      <c r="J11" s="101"/>
    </row>
    <row r="12" spans="1:12" ht="48.75" customHeight="1">
      <c r="A12" s="132" t="s">
        <v>14</v>
      </c>
      <c r="B12" s="132"/>
      <c r="C12" s="132"/>
      <c r="D12" s="132"/>
      <c r="E12" s="132"/>
      <c r="F12" s="132"/>
      <c r="G12" s="132"/>
      <c r="H12" s="132"/>
      <c r="I12" s="132"/>
      <c r="J12" s="132"/>
      <c r="L12" s="55"/>
    </row>
    <row r="13" spans="1:12" ht="13">
      <c r="A13" s="101"/>
      <c r="B13" s="101"/>
      <c r="C13" s="101"/>
      <c r="D13" s="101"/>
      <c r="E13" s="101"/>
      <c r="F13" s="101"/>
      <c r="G13" s="101"/>
      <c r="H13" s="101"/>
      <c r="I13" s="101"/>
      <c r="J13" s="101"/>
    </row>
    <row r="14" spans="1:12" ht="16.149999999999999" customHeight="1">
      <c r="A14" s="115" t="s">
        <v>15</v>
      </c>
      <c r="B14" s="115"/>
      <c r="C14" s="115"/>
      <c r="D14" s="115"/>
      <c r="E14" s="115"/>
      <c r="F14" s="115"/>
      <c r="G14" s="115"/>
      <c r="H14" s="115"/>
      <c r="I14" s="115"/>
      <c r="J14" s="115"/>
      <c r="L14" s="55"/>
    </row>
    <row r="15" spans="1:12" ht="16.149999999999999" customHeight="1">
      <c r="A15" s="1">
        <v>1</v>
      </c>
      <c r="B15" s="109" t="s">
        <v>16</v>
      </c>
      <c r="C15" s="109"/>
      <c r="D15" s="109"/>
      <c r="E15" s="109"/>
      <c r="F15" s="109"/>
      <c r="G15" s="109"/>
      <c r="H15" s="134" t="s">
        <v>17</v>
      </c>
      <c r="I15" s="134"/>
      <c r="J15" s="134"/>
    </row>
    <row r="16" spans="1:12" ht="16.149999999999999" customHeight="1">
      <c r="A16" s="1">
        <v>2</v>
      </c>
      <c r="B16" s="109" t="s">
        <v>18</v>
      </c>
      <c r="C16" s="109"/>
      <c r="D16" s="109"/>
      <c r="E16" s="109"/>
      <c r="F16" s="109"/>
      <c r="G16" s="109"/>
      <c r="H16" s="134">
        <v>9511</v>
      </c>
      <c r="I16" s="134"/>
      <c r="J16" s="134"/>
    </row>
    <row r="17" spans="1:17" ht="16.149999999999999" customHeight="1">
      <c r="A17" s="1">
        <v>3</v>
      </c>
      <c r="B17" s="109" t="s">
        <v>19</v>
      </c>
      <c r="C17" s="109"/>
      <c r="D17" s="109"/>
      <c r="E17" s="109"/>
      <c r="F17" s="109"/>
      <c r="G17" s="109"/>
      <c r="H17" s="143">
        <v>1601.35</v>
      </c>
      <c r="I17" s="143"/>
      <c r="J17" s="143"/>
    </row>
    <row r="18" spans="1:17" ht="16.149999999999999" customHeight="1">
      <c r="A18" s="1">
        <v>4</v>
      </c>
      <c r="B18" s="109" t="s">
        <v>20</v>
      </c>
      <c r="C18" s="109"/>
      <c r="D18" s="109"/>
      <c r="E18" s="109"/>
      <c r="F18" s="109"/>
      <c r="G18" s="109"/>
      <c r="H18" s="134" t="s">
        <v>176</v>
      </c>
      <c r="I18" s="134"/>
      <c r="J18" s="134"/>
    </row>
    <row r="19" spans="1:17" ht="16.149999999999999" customHeight="1">
      <c r="A19" s="1">
        <v>5</v>
      </c>
      <c r="B19" s="109" t="s">
        <v>21</v>
      </c>
      <c r="C19" s="109"/>
      <c r="D19" s="109"/>
      <c r="E19" s="109"/>
      <c r="F19" s="109"/>
      <c r="G19" s="109"/>
      <c r="H19" s="133" t="s">
        <v>141</v>
      </c>
      <c r="I19" s="133"/>
      <c r="J19" s="133"/>
    </row>
    <row r="20" spans="1:17" ht="16.149999999999999" customHeight="1">
      <c r="A20" s="1">
        <v>5</v>
      </c>
      <c r="B20" s="109" t="s">
        <v>133</v>
      </c>
      <c r="C20" s="109"/>
      <c r="D20" s="109"/>
      <c r="E20" s="109"/>
      <c r="F20" s="109"/>
      <c r="G20" s="109"/>
      <c r="H20" s="131">
        <v>44</v>
      </c>
      <c r="I20" s="131"/>
      <c r="J20" s="131"/>
    </row>
    <row r="21" spans="1:17" ht="13">
      <c r="A21" s="101"/>
      <c r="B21" s="101"/>
      <c r="C21" s="101"/>
      <c r="D21" s="101"/>
      <c r="E21" s="101"/>
      <c r="F21" s="101"/>
      <c r="G21" s="101"/>
      <c r="H21" s="101"/>
      <c r="I21" s="101"/>
      <c r="J21" s="101"/>
    </row>
    <row r="22" spans="1:17" ht="20.65" customHeight="1">
      <c r="A22" s="132" t="s">
        <v>22</v>
      </c>
      <c r="B22" s="132"/>
      <c r="C22" s="132"/>
      <c r="D22" s="132"/>
      <c r="E22" s="132"/>
      <c r="F22" s="132"/>
      <c r="G22" s="132"/>
      <c r="H22" s="132"/>
      <c r="I22" s="132"/>
      <c r="J22" s="132"/>
    </row>
    <row r="23" spans="1:17" ht="30.4" customHeight="1">
      <c r="A23" s="64">
        <v>1</v>
      </c>
      <c r="B23" s="115" t="s">
        <v>23</v>
      </c>
      <c r="C23" s="115"/>
      <c r="D23" s="115"/>
      <c r="E23" s="115"/>
      <c r="F23" s="115"/>
      <c r="G23" s="115"/>
      <c r="H23" s="115" t="s">
        <v>24</v>
      </c>
      <c r="I23" s="115"/>
      <c r="J23" s="64" t="s">
        <v>25</v>
      </c>
    </row>
    <row r="24" spans="1:17" ht="12.75" customHeight="1">
      <c r="A24" s="1" t="s">
        <v>5</v>
      </c>
      <c r="B24" s="109" t="s">
        <v>143</v>
      </c>
      <c r="C24" s="109"/>
      <c r="D24" s="109"/>
      <c r="E24" s="109"/>
      <c r="F24" s="109"/>
      <c r="G24" s="109"/>
      <c r="H24" s="109"/>
      <c r="I24" s="109"/>
      <c r="J24" s="2">
        <f>ROUND(H17/44*H20,2)</f>
        <v>1601.35</v>
      </c>
    </row>
    <row r="25" spans="1:17" ht="12.75" customHeight="1">
      <c r="A25" s="66" t="s">
        <v>7</v>
      </c>
      <c r="B25" s="109" t="s">
        <v>26</v>
      </c>
      <c r="C25" s="109"/>
      <c r="D25" s="109"/>
      <c r="E25" s="109"/>
      <c r="F25" s="109"/>
      <c r="G25" s="109"/>
      <c r="H25" s="109"/>
      <c r="I25" s="3"/>
      <c r="J25" s="2"/>
      <c r="K25" s="57"/>
    </row>
    <row r="26" spans="1:17" ht="12.75" customHeight="1">
      <c r="A26" s="66" t="s">
        <v>9</v>
      </c>
      <c r="B26" s="109" t="s">
        <v>27</v>
      </c>
      <c r="C26" s="109"/>
      <c r="D26" s="109"/>
      <c r="E26" s="109"/>
      <c r="F26" s="109"/>
      <c r="G26" s="109"/>
      <c r="H26" s="109"/>
      <c r="I26" s="109"/>
      <c r="J26" s="2"/>
    </row>
    <row r="27" spans="1:17" ht="12.75" customHeight="1">
      <c r="A27" s="66" t="s">
        <v>12</v>
      </c>
      <c r="B27" s="109" t="s">
        <v>28</v>
      </c>
      <c r="C27" s="109"/>
      <c r="D27" s="109"/>
      <c r="E27" s="109"/>
      <c r="F27" s="109"/>
      <c r="G27" s="109"/>
      <c r="H27" s="109"/>
      <c r="I27" s="109"/>
      <c r="J27" s="2"/>
    </row>
    <row r="28" spans="1:17" ht="12.75" customHeight="1">
      <c r="A28" s="66" t="s">
        <v>29</v>
      </c>
      <c r="B28" s="109" t="s">
        <v>30</v>
      </c>
      <c r="C28" s="109"/>
      <c r="D28" s="109"/>
      <c r="E28" s="109"/>
      <c r="F28" s="109"/>
      <c r="G28" s="109"/>
      <c r="H28" s="109"/>
      <c r="I28" s="109"/>
      <c r="J28" s="2"/>
      <c r="Q28" s="54"/>
    </row>
    <row r="29" spans="1:17" ht="12.75" customHeight="1">
      <c r="A29" s="1" t="s">
        <v>7</v>
      </c>
      <c r="B29" s="109" t="s">
        <v>31</v>
      </c>
      <c r="C29" s="109"/>
      <c r="D29" s="109"/>
      <c r="E29" s="109"/>
      <c r="F29" s="109"/>
      <c r="G29" s="109"/>
      <c r="H29" s="109"/>
      <c r="I29" s="4">
        <v>0.2</v>
      </c>
      <c r="J29" s="2">
        <f>I29*J24</f>
        <v>320.27</v>
      </c>
      <c r="Q29" s="54"/>
    </row>
    <row r="30" spans="1:17" ht="15.75" customHeight="1">
      <c r="A30" s="116" t="s">
        <v>32</v>
      </c>
      <c r="B30" s="116"/>
      <c r="C30" s="116"/>
      <c r="D30" s="116"/>
      <c r="E30" s="116"/>
      <c r="F30" s="116"/>
      <c r="G30" s="116"/>
      <c r="H30" s="116"/>
      <c r="I30" s="116"/>
      <c r="J30" s="5">
        <f>SUM(J24:J29)</f>
        <v>1921.62</v>
      </c>
    </row>
    <row r="31" spans="1:17" ht="13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Q31" s="54"/>
    </row>
    <row r="32" spans="1:17" ht="16.149999999999999" customHeight="1">
      <c r="A32" s="112" t="s">
        <v>33</v>
      </c>
      <c r="B32" s="112"/>
      <c r="C32" s="112"/>
      <c r="D32" s="112"/>
      <c r="E32" s="112"/>
      <c r="F32" s="112"/>
      <c r="G32" s="112"/>
      <c r="H32" s="112"/>
      <c r="I32" s="112"/>
      <c r="J32" s="112"/>
    </row>
    <row r="33" spans="1:13" ht="14">
      <c r="A33" s="129" t="s">
        <v>34</v>
      </c>
      <c r="B33" s="129"/>
      <c r="C33" s="129"/>
      <c r="D33" s="129"/>
      <c r="E33" s="129"/>
      <c r="F33" s="129"/>
      <c r="G33" s="129"/>
      <c r="H33" s="129"/>
      <c r="I33" s="129"/>
      <c r="J33" s="129"/>
    </row>
    <row r="34" spans="1:13" ht="14">
      <c r="A34" s="6" t="s">
        <v>35</v>
      </c>
      <c r="B34" s="130" t="s">
        <v>36</v>
      </c>
      <c r="C34" s="130"/>
      <c r="D34" s="130"/>
      <c r="E34" s="130"/>
      <c r="F34" s="130"/>
      <c r="G34" s="130"/>
      <c r="H34" s="130"/>
      <c r="I34" s="130"/>
      <c r="J34" s="7" t="s">
        <v>37</v>
      </c>
    </row>
    <row r="35" spans="1:13" ht="27.65" customHeight="1">
      <c r="A35" s="8" t="s">
        <v>5</v>
      </c>
      <c r="B35" s="109" t="s">
        <v>38</v>
      </c>
      <c r="C35" s="109"/>
      <c r="D35" s="109"/>
      <c r="E35" s="109"/>
      <c r="F35" s="109"/>
      <c r="G35" s="109"/>
      <c r="H35" s="109"/>
      <c r="I35" s="9">
        <v>8.3299999999999999E-2</v>
      </c>
      <c r="J35" s="10">
        <f>ROUND($J$30*I35,2)</f>
        <v>160.07</v>
      </c>
      <c r="M35" s="55"/>
    </row>
    <row r="36" spans="1:13" ht="36.25" customHeight="1">
      <c r="A36" s="8" t="s">
        <v>7</v>
      </c>
      <c r="B36" s="120" t="s">
        <v>39</v>
      </c>
      <c r="C36" s="120"/>
      <c r="D36" s="120"/>
      <c r="E36" s="120"/>
      <c r="F36" s="120"/>
      <c r="G36" s="120"/>
      <c r="H36" s="120"/>
      <c r="I36" s="11">
        <v>3.0249999999999999E-2</v>
      </c>
      <c r="J36" s="10">
        <f>ROUND($J$30*I36,2)</f>
        <v>58.13</v>
      </c>
    </row>
    <row r="37" spans="1:13" ht="13">
      <c r="A37" s="128" t="s">
        <v>40</v>
      </c>
      <c r="B37" s="128"/>
      <c r="C37" s="128"/>
      <c r="D37" s="128"/>
      <c r="E37" s="128"/>
      <c r="F37" s="128"/>
      <c r="G37" s="128"/>
      <c r="H37" s="128"/>
      <c r="I37" s="128"/>
      <c r="J37" s="65">
        <f>SUM(J35+J36)</f>
        <v>218.2</v>
      </c>
    </row>
    <row r="38" spans="1:13" ht="13">
      <c r="A38" s="101"/>
      <c r="B38" s="101"/>
      <c r="C38" s="101"/>
      <c r="D38" s="101"/>
      <c r="E38" s="101"/>
      <c r="F38" s="101"/>
      <c r="G38" s="101"/>
      <c r="H38" s="101"/>
      <c r="I38" s="101"/>
      <c r="J38" s="101"/>
    </row>
    <row r="39" spans="1:13" ht="30.4" customHeight="1">
      <c r="A39" s="112" t="s">
        <v>41</v>
      </c>
      <c r="B39" s="112"/>
      <c r="C39" s="112"/>
      <c r="D39" s="112"/>
      <c r="E39" s="112"/>
      <c r="F39" s="112"/>
      <c r="G39" s="112"/>
      <c r="H39" s="112"/>
      <c r="I39" s="112"/>
      <c r="J39" s="112"/>
    </row>
    <row r="40" spans="1:13" ht="30.4" customHeight="1">
      <c r="A40" s="63" t="s">
        <v>42</v>
      </c>
      <c r="B40" s="113" t="s">
        <v>43</v>
      </c>
      <c r="C40" s="113"/>
      <c r="D40" s="113"/>
      <c r="E40" s="113"/>
      <c r="F40" s="113"/>
      <c r="G40" s="113"/>
      <c r="H40" s="113"/>
      <c r="I40" s="64" t="s">
        <v>44</v>
      </c>
      <c r="J40" s="64" t="s">
        <v>45</v>
      </c>
    </row>
    <row r="41" spans="1:13" ht="13">
      <c r="A41" s="8" t="s">
        <v>5</v>
      </c>
      <c r="B41" s="104" t="s">
        <v>46</v>
      </c>
      <c r="C41" s="104"/>
      <c r="D41" s="104"/>
      <c r="E41" s="104"/>
      <c r="F41" s="104"/>
      <c r="G41" s="104"/>
      <c r="H41" s="104"/>
      <c r="I41" s="15">
        <v>0.2</v>
      </c>
      <c r="J41" s="16">
        <f>ROUND(($J$30+$J$37)*I41,2)</f>
        <v>427.96</v>
      </c>
    </row>
    <row r="42" spans="1:13" ht="13">
      <c r="A42" s="8" t="s">
        <v>7</v>
      </c>
      <c r="B42" s="104" t="s">
        <v>47</v>
      </c>
      <c r="C42" s="104"/>
      <c r="D42" s="104"/>
      <c r="E42" s="104"/>
      <c r="F42" s="104"/>
      <c r="G42" s="104"/>
      <c r="H42" s="104"/>
      <c r="I42" s="15">
        <v>2.5000000000000001E-2</v>
      </c>
      <c r="J42" s="16">
        <f t="shared" ref="J42:J48" si="0">ROUND(($J$30+$J$37)*I42,2)</f>
        <v>53.5</v>
      </c>
    </row>
    <row r="43" spans="1:13" ht="23.9" customHeight="1">
      <c r="A43" s="8" t="s">
        <v>9</v>
      </c>
      <c r="B43" s="109" t="s">
        <v>48</v>
      </c>
      <c r="C43" s="109"/>
      <c r="D43" s="109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21.4</v>
      </c>
    </row>
    <row r="44" spans="1:13" ht="13">
      <c r="A44" s="8" t="s">
        <v>12</v>
      </c>
      <c r="B44" s="104" t="s">
        <v>51</v>
      </c>
      <c r="C44" s="104"/>
      <c r="D44" s="104"/>
      <c r="E44" s="104"/>
      <c r="F44" s="104"/>
      <c r="G44" s="104"/>
      <c r="H44" s="104"/>
      <c r="I44" s="15">
        <v>1.4999999999999999E-2</v>
      </c>
      <c r="J44" s="16">
        <f t="shared" si="0"/>
        <v>32.1</v>
      </c>
    </row>
    <row r="45" spans="1:13" ht="13">
      <c r="A45" s="8" t="s">
        <v>29</v>
      </c>
      <c r="B45" s="104" t="s">
        <v>52</v>
      </c>
      <c r="C45" s="104"/>
      <c r="D45" s="104"/>
      <c r="E45" s="104"/>
      <c r="F45" s="104"/>
      <c r="G45" s="104"/>
      <c r="H45" s="104"/>
      <c r="I45" s="15">
        <v>0.01</v>
      </c>
      <c r="J45" s="16">
        <f t="shared" si="0"/>
        <v>21.4</v>
      </c>
    </row>
    <row r="46" spans="1:13" ht="13">
      <c r="A46" s="8" t="s">
        <v>53</v>
      </c>
      <c r="B46" s="104" t="s">
        <v>54</v>
      </c>
      <c r="C46" s="104"/>
      <c r="D46" s="104"/>
      <c r="E46" s="104"/>
      <c r="F46" s="104"/>
      <c r="G46" s="104"/>
      <c r="H46" s="104"/>
      <c r="I46" s="15">
        <v>6.0000000000000001E-3</v>
      </c>
      <c r="J46" s="16">
        <f t="shared" si="0"/>
        <v>12.84</v>
      </c>
    </row>
    <row r="47" spans="1:13" ht="13">
      <c r="A47" s="8" t="s">
        <v>55</v>
      </c>
      <c r="B47" s="104" t="s">
        <v>56</v>
      </c>
      <c r="C47" s="104"/>
      <c r="D47" s="104"/>
      <c r="E47" s="104"/>
      <c r="F47" s="104"/>
      <c r="G47" s="104"/>
      <c r="H47" s="104"/>
      <c r="I47" s="15">
        <v>2E-3</v>
      </c>
      <c r="J47" s="16">
        <f t="shared" si="0"/>
        <v>4.28</v>
      </c>
    </row>
    <row r="48" spans="1:13" ht="13">
      <c r="A48" s="8" t="s">
        <v>57</v>
      </c>
      <c r="B48" s="104" t="s">
        <v>58</v>
      </c>
      <c r="C48" s="104"/>
      <c r="D48" s="104"/>
      <c r="E48" s="104"/>
      <c r="F48" s="104"/>
      <c r="G48" s="104"/>
      <c r="H48" s="104"/>
      <c r="I48" s="15">
        <v>0.08</v>
      </c>
      <c r="J48" s="16">
        <f t="shared" si="0"/>
        <v>171.19</v>
      </c>
    </row>
    <row r="49" spans="1:12" ht="13">
      <c r="A49" s="105" t="s">
        <v>40</v>
      </c>
      <c r="B49" s="105"/>
      <c r="C49" s="105"/>
      <c r="D49" s="105"/>
      <c r="E49" s="105"/>
      <c r="F49" s="105"/>
      <c r="G49" s="105"/>
      <c r="H49" s="105"/>
      <c r="I49" s="21">
        <f>SUM(I41:I48)</f>
        <v>0.34800000000000003</v>
      </c>
      <c r="J49" s="14">
        <f>SUM(J41:J48)</f>
        <v>744.66999999999985</v>
      </c>
    </row>
    <row r="50" spans="1:12" ht="13">
      <c r="A50" s="101"/>
      <c r="B50" s="101"/>
      <c r="C50" s="101"/>
      <c r="D50" s="101"/>
      <c r="E50" s="101"/>
      <c r="F50" s="101"/>
      <c r="G50" s="101"/>
      <c r="H50" s="101"/>
      <c r="I50" s="101"/>
      <c r="J50" s="101"/>
    </row>
    <row r="51" spans="1:12" ht="16.149999999999999" customHeight="1">
      <c r="A51" s="112" t="s">
        <v>59</v>
      </c>
      <c r="B51" s="112"/>
      <c r="C51" s="112"/>
      <c r="D51" s="112"/>
      <c r="E51" s="112"/>
      <c r="F51" s="112"/>
      <c r="G51" s="112"/>
      <c r="H51" s="112"/>
      <c r="I51" s="112"/>
      <c r="J51" s="112"/>
      <c r="L51" s="53"/>
    </row>
    <row r="52" spans="1:12" ht="16.149999999999999" customHeight="1">
      <c r="A52" s="69" t="s">
        <v>60</v>
      </c>
      <c r="B52" s="113" t="s">
        <v>61</v>
      </c>
      <c r="C52" s="113"/>
      <c r="D52" s="113"/>
      <c r="E52" s="113"/>
      <c r="F52" s="113"/>
      <c r="G52" s="113"/>
      <c r="H52" s="113"/>
      <c r="I52" s="113"/>
      <c r="J52" s="68" t="s">
        <v>37</v>
      </c>
    </row>
    <row r="53" spans="1:12" ht="13">
      <c r="A53" s="8" t="s">
        <v>5</v>
      </c>
      <c r="B53" s="104" t="s">
        <v>62</v>
      </c>
      <c r="C53" s="104"/>
      <c r="D53" s="104"/>
      <c r="E53" s="104"/>
      <c r="F53" s="104"/>
      <c r="G53" s="104"/>
      <c r="H53" s="104"/>
      <c r="I53" s="104"/>
      <c r="J53" s="16">
        <f>IF(ROUND((I56*I54*I55)-(J24*0.06),2)&lt;0,0,ROUND((I56*I54*I55)-(J24*0.06),2))</f>
        <v>153.52000000000001</v>
      </c>
    </row>
    <row r="54" spans="1:12" ht="13">
      <c r="A54" s="8"/>
      <c r="B54" s="121" t="s">
        <v>63</v>
      </c>
      <c r="C54" s="121"/>
      <c r="D54" s="121"/>
      <c r="E54" s="121"/>
      <c r="F54" s="121"/>
      <c r="G54" s="121"/>
      <c r="H54" s="121"/>
      <c r="I54" s="22">
        <v>4.8</v>
      </c>
      <c r="J54" s="51" t="s">
        <v>64</v>
      </c>
    </row>
    <row r="55" spans="1:12" ht="13">
      <c r="A55" s="8"/>
      <c r="B55" s="121" t="s">
        <v>65</v>
      </c>
      <c r="C55" s="121"/>
      <c r="D55" s="121"/>
      <c r="E55" s="121"/>
      <c r="F55" s="121"/>
      <c r="G55" s="121"/>
      <c r="H55" s="121"/>
      <c r="I55" s="23">
        <v>2</v>
      </c>
      <c r="J55" s="51"/>
    </row>
    <row r="56" spans="1:12" ht="13">
      <c r="A56" s="8"/>
      <c r="B56" s="121" t="s">
        <v>66</v>
      </c>
      <c r="C56" s="121"/>
      <c r="D56" s="121"/>
      <c r="E56" s="121"/>
      <c r="F56" s="121"/>
      <c r="G56" s="121"/>
      <c r="H56" s="121"/>
      <c r="I56" s="24">
        <v>26</v>
      </c>
      <c r="J56" s="51"/>
    </row>
    <row r="57" spans="1:12" ht="13">
      <c r="A57" s="8" t="s">
        <v>7</v>
      </c>
      <c r="B57" s="104" t="s">
        <v>67</v>
      </c>
      <c r="C57" s="104"/>
      <c r="D57" s="104"/>
      <c r="E57" s="104"/>
      <c r="F57" s="104"/>
      <c r="G57" s="104"/>
      <c r="H57" s="104"/>
      <c r="I57" s="104"/>
      <c r="J57" s="16">
        <f>ROUND((I58*I59)-(I59*I58*I60),2)</f>
        <v>359.61</v>
      </c>
    </row>
    <row r="58" spans="1:12" ht="13">
      <c r="A58" s="8"/>
      <c r="B58" s="121" t="s">
        <v>68</v>
      </c>
      <c r="C58" s="121"/>
      <c r="D58" s="121"/>
      <c r="E58" s="121"/>
      <c r="F58" s="121"/>
      <c r="G58" s="121"/>
      <c r="H58" s="121"/>
      <c r="I58" s="22">
        <v>20.18</v>
      </c>
      <c r="J58" s="51" t="s">
        <v>64</v>
      </c>
    </row>
    <row r="59" spans="1:12" ht="13">
      <c r="A59" s="25"/>
      <c r="B59" s="121" t="s">
        <v>69</v>
      </c>
      <c r="C59" s="121"/>
      <c r="D59" s="121"/>
      <c r="E59" s="121"/>
      <c r="F59" s="121"/>
      <c r="G59" s="121"/>
      <c r="H59" s="121"/>
      <c r="I59" s="26">
        <v>22</v>
      </c>
      <c r="J59" s="51"/>
    </row>
    <row r="60" spans="1:12" ht="13">
      <c r="A60" s="25"/>
      <c r="B60" s="121" t="s">
        <v>132</v>
      </c>
      <c r="C60" s="121"/>
      <c r="D60" s="121"/>
      <c r="E60" s="121"/>
      <c r="F60" s="121"/>
      <c r="G60" s="121"/>
      <c r="H60" s="121"/>
      <c r="I60" s="52">
        <v>0.19</v>
      </c>
      <c r="J60" s="51"/>
    </row>
    <row r="61" spans="1:12" ht="27.65" customHeight="1">
      <c r="A61" s="8"/>
      <c r="B61" s="121" t="s">
        <v>208</v>
      </c>
      <c r="C61" s="121"/>
      <c r="D61" s="121"/>
      <c r="E61" s="121"/>
      <c r="F61" s="121"/>
      <c r="G61" s="121"/>
      <c r="H61" s="121"/>
      <c r="I61" s="22">
        <f>I58/2</f>
        <v>10.09</v>
      </c>
      <c r="J61" s="16">
        <f>ROUND((I61*I62)-(I61*I62*I60),2)</f>
        <v>32.69</v>
      </c>
    </row>
    <row r="62" spans="1:12" ht="27.65" customHeight="1">
      <c r="A62" s="25"/>
      <c r="B62" s="121" t="s">
        <v>69</v>
      </c>
      <c r="C62" s="121"/>
      <c r="D62" s="121"/>
      <c r="E62" s="121"/>
      <c r="F62" s="121"/>
      <c r="G62" s="121"/>
      <c r="H62" s="121"/>
      <c r="I62" s="26">
        <v>4</v>
      </c>
      <c r="J62" s="51"/>
      <c r="L62" s="50"/>
    </row>
    <row r="63" spans="1:12" ht="27.65" customHeight="1">
      <c r="A63" s="8" t="s">
        <v>12</v>
      </c>
      <c r="B63" s="122" t="s">
        <v>186</v>
      </c>
      <c r="C63" s="123"/>
      <c r="D63" s="123"/>
      <c r="E63" s="123"/>
      <c r="F63" s="123"/>
      <c r="G63" s="123"/>
      <c r="H63" s="123"/>
      <c r="I63" s="124"/>
      <c r="J63" s="27">
        <v>17.32</v>
      </c>
      <c r="L63" s="50"/>
    </row>
    <row r="64" spans="1:12" ht="13">
      <c r="A64" s="125" t="s">
        <v>32</v>
      </c>
      <c r="B64" s="126"/>
      <c r="C64" s="126"/>
      <c r="D64" s="126"/>
      <c r="E64" s="126"/>
      <c r="F64" s="126"/>
      <c r="G64" s="126"/>
      <c r="H64" s="126"/>
      <c r="I64" s="127"/>
      <c r="J64" s="14">
        <f>SUM(J53:J63)</f>
        <v>563.14</v>
      </c>
      <c r="L64" s="50"/>
    </row>
    <row r="65" spans="1:12" ht="13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L65" s="50"/>
    </row>
    <row r="66" spans="1:12" ht="16.149999999999999" customHeight="1">
      <c r="A66" s="112" t="s">
        <v>71</v>
      </c>
      <c r="B66" s="112"/>
      <c r="C66" s="112"/>
      <c r="D66" s="112"/>
      <c r="E66" s="112"/>
      <c r="F66" s="112"/>
      <c r="G66" s="112"/>
      <c r="H66" s="112"/>
      <c r="I66" s="112"/>
      <c r="J66" s="112"/>
      <c r="L66" s="50"/>
    </row>
    <row r="67" spans="1:12" ht="16.149999999999999" customHeight="1">
      <c r="A67" s="64">
        <v>2</v>
      </c>
      <c r="B67" s="115" t="s">
        <v>72</v>
      </c>
      <c r="C67" s="115"/>
      <c r="D67" s="115"/>
      <c r="E67" s="115"/>
      <c r="F67" s="115"/>
      <c r="G67" s="115"/>
      <c r="H67" s="115"/>
      <c r="I67" s="115"/>
      <c r="J67" s="64" t="s">
        <v>37</v>
      </c>
      <c r="L67" s="50"/>
    </row>
    <row r="68" spans="1:12" ht="14.65" customHeight="1">
      <c r="A68" s="1" t="s">
        <v>35</v>
      </c>
      <c r="B68" s="1"/>
      <c r="C68" s="109" t="s">
        <v>73</v>
      </c>
      <c r="D68" s="109"/>
      <c r="E68" s="109"/>
      <c r="F68" s="109"/>
      <c r="G68" s="109"/>
      <c r="H68" s="109"/>
      <c r="I68" s="109"/>
      <c r="J68" s="28">
        <f>J37</f>
        <v>218.2</v>
      </c>
      <c r="L68" s="50"/>
    </row>
    <row r="69" spans="1:12" ht="14.65" customHeight="1">
      <c r="A69" s="1" t="s">
        <v>42</v>
      </c>
      <c r="B69" s="1"/>
      <c r="C69" s="109" t="s">
        <v>43</v>
      </c>
      <c r="D69" s="109"/>
      <c r="E69" s="109"/>
      <c r="F69" s="109"/>
      <c r="G69" s="109"/>
      <c r="H69" s="109"/>
      <c r="I69" s="109"/>
      <c r="J69" s="28">
        <f>J49</f>
        <v>744.66999999999985</v>
      </c>
      <c r="L69" s="50"/>
    </row>
    <row r="70" spans="1:12" ht="14.65" customHeight="1">
      <c r="A70" s="1" t="s">
        <v>60</v>
      </c>
      <c r="B70" s="1"/>
      <c r="C70" s="109" t="s">
        <v>61</v>
      </c>
      <c r="D70" s="109"/>
      <c r="E70" s="109"/>
      <c r="F70" s="109"/>
      <c r="G70" s="109"/>
      <c r="H70" s="109"/>
      <c r="I70" s="109"/>
      <c r="J70" s="28">
        <f>J64</f>
        <v>563.14</v>
      </c>
      <c r="L70" s="50"/>
    </row>
    <row r="71" spans="1:12" ht="14.65" customHeight="1">
      <c r="A71" s="116" t="s">
        <v>40</v>
      </c>
      <c r="B71" s="116"/>
      <c r="C71" s="116"/>
      <c r="D71" s="116"/>
      <c r="E71" s="116"/>
      <c r="F71" s="116"/>
      <c r="G71" s="116"/>
      <c r="H71" s="116"/>
      <c r="I71" s="116"/>
      <c r="J71" s="29">
        <f>SUM(J68+J69+J70)</f>
        <v>1526.0099999999998</v>
      </c>
    </row>
    <row r="72" spans="1:12" ht="13">
      <c r="A72" s="101"/>
      <c r="B72" s="101"/>
      <c r="C72" s="101"/>
      <c r="D72" s="101"/>
      <c r="E72" s="101"/>
      <c r="F72" s="101"/>
      <c r="G72" s="101"/>
      <c r="H72" s="101"/>
      <c r="I72" s="101"/>
      <c r="J72" s="101"/>
    </row>
    <row r="73" spans="1:12" ht="16.149999999999999" customHeight="1">
      <c r="A73" s="112" t="s">
        <v>74</v>
      </c>
      <c r="B73" s="112"/>
      <c r="C73" s="112"/>
      <c r="D73" s="112"/>
      <c r="E73" s="112"/>
      <c r="F73" s="112"/>
      <c r="G73" s="112"/>
      <c r="H73" s="112"/>
      <c r="I73" s="112"/>
      <c r="J73" s="112"/>
    </row>
    <row r="74" spans="1:12" ht="16.149999999999999" customHeight="1">
      <c r="A74" s="63">
        <v>3</v>
      </c>
      <c r="B74" s="115" t="s">
        <v>75</v>
      </c>
      <c r="C74" s="115"/>
      <c r="D74" s="115"/>
      <c r="E74" s="115"/>
      <c r="F74" s="115"/>
      <c r="G74" s="115"/>
      <c r="H74" s="115"/>
      <c r="I74" s="115"/>
      <c r="J74" s="63" t="s">
        <v>76</v>
      </c>
    </row>
    <row r="75" spans="1:12" ht="46.5" customHeight="1">
      <c r="A75" s="8" t="s">
        <v>5</v>
      </c>
      <c r="B75" s="109" t="s">
        <v>135</v>
      </c>
      <c r="C75" s="109"/>
      <c r="D75" s="109"/>
      <c r="E75" s="109"/>
      <c r="F75" s="109"/>
      <c r="G75" s="109"/>
      <c r="H75" s="109"/>
      <c r="I75" s="109"/>
      <c r="J75" s="16">
        <f>ROUND(((J30)+(J35)+(J30/12)+(J36))/12*0.01,2)</f>
        <v>1.92</v>
      </c>
      <c r="L75" s="50"/>
    </row>
    <row r="76" spans="1:12" ht="14.65" customHeight="1">
      <c r="A76" s="8" t="s">
        <v>7</v>
      </c>
      <c r="B76" s="109" t="s">
        <v>77</v>
      </c>
      <c r="C76" s="109"/>
      <c r="D76" s="109"/>
      <c r="E76" s="109"/>
      <c r="F76" s="109"/>
      <c r="G76" s="109"/>
      <c r="H76" s="109"/>
      <c r="I76" s="109"/>
      <c r="J76" s="16">
        <f>ROUND($J$75*I48,2)</f>
        <v>0.15</v>
      </c>
    </row>
    <row r="77" spans="1:12" ht="36.25" customHeight="1">
      <c r="A77" s="8" t="s">
        <v>9</v>
      </c>
      <c r="B77" s="109" t="s">
        <v>136</v>
      </c>
      <c r="C77" s="109"/>
      <c r="D77" s="109"/>
      <c r="E77" s="109"/>
      <c r="F77" s="109"/>
      <c r="G77" s="109"/>
      <c r="H77" s="109"/>
      <c r="I77" s="30">
        <v>2.3999999999999998E-3</v>
      </c>
      <c r="J77" s="16">
        <f>ROUND($J$30*I77,2)</f>
        <v>4.6100000000000003</v>
      </c>
    </row>
    <row r="78" spans="1:12" ht="34.5" customHeight="1">
      <c r="A78" s="8" t="s">
        <v>12</v>
      </c>
      <c r="B78" s="109" t="s">
        <v>138</v>
      </c>
      <c r="C78" s="109"/>
      <c r="D78" s="109"/>
      <c r="E78" s="109"/>
      <c r="F78" s="109"/>
      <c r="G78" s="109"/>
      <c r="H78" s="109"/>
      <c r="I78" s="109"/>
      <c r="J78" s="16">
        <f>J30/30*7/12*0.05</f>
        <v>1.868241666666667</v>
      </c>
    </row>
    <row r="79" spans="1:12" ht="14.65" customHeight="1">
      <c r="A79" s="8" t="s">
        <v>29</v>
      </c>
      <c r="B79" s="109" t="s">
        <v>78</v>
      </c>
      <c r="C79" s="109"/>
      <c r="D79" s="109"/>
      <c r="E79" s="109"/>
      <c r="F79" s="109"/>
      <c r="G79" s="109"/>
      <c r="H79" s="109"/>
      <c r="I79" s="109"/>
      <c r="J79" s="16">
        <f>ROUND($I$49*J78,2)</f>
        <v>0.65</v>
      </c>
    </row>
    <row r="80" spans="1:12" ht="36.25" customHeight="1">
      <c r="A80" s="8" t="s">
        <v>53</v>
      </c>
      <c r="B80" s="109" t="s">
        <v>137</v>
      </c>
      <c r="C80" s="109"/>
      <c r="D80" s="109"/>
      <c r="E80" s="109"/>
      <c r="F80" s="109"/>
      <c r="G80" s="109"/>
      <c r="H80" s="109"/>
      <c r="I80" s="30">
        <v>3.7600000000000001E-2</v>
      </c>
      <c r="J80" s="16">
        <f>ROUND($J$30*I80,2)</f>
        <v>72.25</v>
      </c>
    </row>
    <row r="81" spans="1:10" ht="13">
      <c r="A81" s="105" t="s">
        <v>40</v>
      </c>
      <c r="B81" s="105"/>
      <c r="C81" s="105"/>
      <c r="D81" s="105"/>
      <c r="E81" s="105"/>
      <c r="F81" s="105"/>
      <c r="G81" s="105"/>
      <c r="H81" s="105"/>
      <c r="I81" s="105"/>
      <c r="J81" s="14">
        <f>SUM(J75:J80)</f>
        <v>81.448241666666661</v>
      </c>
    </row>
    <row r="82" spans="1:10" ht="13">
      <c r="A82" s="101"/>
      <c r="B82" s="101"/>
      <c r="C82" s="101"/>
      <c r="D82" s="101"/>
      <c r="E82" s="101"/>
      <c r="F82" s="101"/>
      <c r="G82" s="101"/>
      <c r="H82" s="101"/>
      <c r="I82" s="101"/>
      <c r="J82" s="101"/>
    </row>
    <row r="83" spans="1:10" ht="16.149999999999999" customHeight="1">
      <c r="A83" s="112" t="s">
        <v>79</v>
      </c>
      <c r="B83" s="112"/>
      <c r="C83" s="112"/>
      <c r="D83" s="112"/>
      <c r="E83" s="112"/>
      <c r="F83" s="112"/>
      <c r="G83" s="112"/>
      <c r="H83" s="112"/>
      <c r="I83" s="112"/>
      <c r="J83" s="112"/>
    </row>
    <row r="84" spans="1:10" ht="15" customHeight="1">
      <c r="A84" s="119" t="s">
        <v>80</v>
      </c>
      <c r="B84" s="119"/>
      <c r="C84" s="119"/>
      <c r="D84" s="119"/>
      <c r="E84" s="119"/>
      <c r="F84" s="119"/>
      <c r="G84" s="119"/>
      <c r="H84" s="119"/>
      <c r="I84" s="119"/>
      <c r="J84" s="31">
        <f>J87+J30+J35+J36</f>
        <v>2314.21</v>
      </c>
    </row>
    <row r="85" spans="1:10" ht="14.65" customHeight="1">
      <c r="A85" s="120"/>
      <c r="B85" s="120"/>
      <c r="C85" s="120"/>
      <c r="D85" s="120"/>
      <c r="E85" s="120"/>
      <c r="F85" s="120"/>
      <c r="G85" s="120"/>
      <c r="H85" s="120"/>
      <c r="I85" s="120"/>
      <c r="J85" s="120"/>
    </row>
    <row r="86" spans="1:10" ht="14">
      <c r="A86" s="32" t="s">
        <v>81</v>
      </c>
      <c r="B86" s="113" t="s">
        <v>82</v>
      </c>
      <c r="C86" s="113"/>
      <c r="D86" s="113"/>
      <c r="E86" s="113"/>
      <c r="F86" s="113"/>
      <c r="G86" s="113"/>
      <c r="H86" s="113"/>
      <c r="I86" s="113"/>
      <c r="J86" s="32" t="s">
        <v>37</v>
      </c>
    </row>
    <row r="87" spans="1:10" ht="12.75" customHeight="1">
      <c r="A87" s="12" t="s">
        <v>5</v>
      </c>
      <c r="B87" s="109" t="s">
        <v>83</v>
      </c>
      <c r="C87" s="109"/>
      <c r="D87" s="109"/>
      <c r="E87" s="109"/>
      <c r="F87" s="109"/>
      <c r="G87" s="109"/>
      <c r="H87" s="109"/>
      <c r="I87" s="33">
        <f>12.1%-I36</f>
        <v>9.0749999999999997E-2</v>
      </c>
      <c r="J87" s="16">
        <f>ROUND(($J$30*I87),2)</f>
        <v>174.39</v>
      </c>
    </row>
    <row r="88" spans="1:10" ht="13">
      <c r="A88" s="12" t="s">
        <v>7</v>
      </c>
      <c r="B88" s="104" t="s">
        <v>131</v>
      </c>
      <c r="C88" s="104"/>
      <c r="D88" s="104"/>
      <c r="E88" s="104"/>
      <c r="F88" s="104"/>
      <c r="G88" s="104"/>
      <c r="H88" s="104"/>
      <c r="I88" s="104"/>
      <c r="J88" s="34">
        <f>J84/30*0.1/12</f>
        <v>0.64283611111111105</v>
      </c>
    </row>
    <row r="89" spans="1:10" ht="13">
      <c r="A89" s="12" t="s">
        <v>9</v>
      </c>
      <c r="B89" s="104" t="s">
        <v>84</v>
      </c>
      <c r="C89" s="104"/>
      <c r="D89" s="104"/>
      <c r="E89" s="104"/>
      <c r="F89" s="104"/>
      <c r="G89" s="104"/>
      <c r="H89" s="104"/>
      <c r="I89" s="104"/>
      <c r="J89" s="34">
        <f>J84/30*5/12*1.5%</f>
        <v>0.48212708333333332</v>
      </c>
    </row>
    <row r="90" spans="1:10" ht="13">
      <c r="A90" s="12" t="s">
        <v>12</v>
      </c>
      <c r="B90" s="104" t="s">
        <v>85</v>
      </c>
      <c r="C90" s="104"/>
      <c r="D90" s="104"/>
      <c r="E90" s="104"/>
      <c r="F90" s="104"/>
      <c r="G90" s="104"/>
      <c r="H90" s="104"/>
      <c r="I90" s="104"/>
      <c r="J90" s="13">
        <f>J84/30*15/12*0.78%</f>
        <v>0.75211824999999999</v>
      </c>
    </row>
    <row r="91" spans="1:10" ht="13">
      <c r="A91" s="12" t="s">
        <v>29</v>
      </c>
      <c r="B91" s="104" t="s">
        <v>86</v>
      </c>
      <c r="C91" s="104"/>
      <c r="D91" s="104"/>
      <c r="E91" s="104"/>
      <c r="F91" s="104"/>
      <c r="G91" s="104"/>
      <c r="H91" s="104"/>
      <c r="I91" s="104"/>
      <c r="J91" s="16">
        <f>(J30+J36)/12*4/12*1%</f>
        <v>0.54993055555555548</v>
      </c>
    </row>
    <row r="92" spans="1:10" ht="13">
      <c r="A92" s="35" t="s">
        <v>53</v>
      </c>
      <c r="B92" s="118" t="s">
        <v>87</v>
      </c>
      <c r="C92" s="118"/>
      <c r="D92" s="118"/>
      <c r="E92" s="118"/>
      <c r="F92" s="118"/>
      <c r="G92" s="118"/>
      <c r="H92" s="118"/>
      <c r="I92" s="118"/>
      <c r="J92" s="13">
        <f>J84/30*0.15/12</f>
        <v>0.96425416666666663</v>
      </c>
    </row>
    <row r="93" spans="1:10" ht="13">
      <c r="A93" s="105" t="s">
        <v>40</v>
      </c>
      <c r="B93" s="105"/>
      <c r="C93" s="105"/>
      <c r="D93" s="105"/>
      <c r="E93" s="105"/>
      <c r="F93" s="105"/>
      <c r="G93" s="105"/>
      <c r="H93" s="105"/>
      <c r="I93" s="105"/>
      <c r="J93" s="36">
        <f>SUM(J87:J92)</f>
        <v>177.78126616666665</v>
      </c>
    </row>
    <row r="94" spans="1:10" ht="14.65" customHeight="1">
      <c r="A94" s="12"/>
      <c r="B94" s="104"/>
      <c r="C94" s="104"/>
      <c r="D94" s="104"/>
      <c r="E94" s="104"/>
      <c r="F94" s="104"/>
      <c r="G94" s="104"/>
      <c r="H94" s="104"/>
      <c r="I94" s="104"/>
      <c r="J94" s="13"/>
    </row>
    <row r="95" spans="1:10" ht="13">
      <c r="A95" s="105" t="s">
        <v>40</v>
      </c>
      <c r="B95" s="105"/>
      <c r="C95" s="105"/>
      <c r="D95" s="105"/>
      <c r="E95" s="105"/>
      <c r="F95" s="105"/>
      <c r="G95" s="105"/>
      <c r="H95" s="105"/>
      <c r="I95" s="105"/>
      <c r="J95" s="14">
        <f>SUM(J93:J94)</f>
        <v>177.78126616666665</v>
      </c>
    </row>
    <row r="96" spans="1:10" ht="16.149999999999999" customHeight="1">
      <c r="A96" s="112" t="s">
        <v>88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14">
      <c r="A97" s="63" t="s">
        <v>89</v>
      </c>
      <c r="B97" s="113" t="s">
        <v>90</v>
      </c>
      <c r="C97" s="113"/>
      <c r="D97" s="113"/>
      <c r="E97" s="113"/>
      <c r="F97" s="113"/>
      <c r="G97" s="113"/>
      <c r="H97" s="113"/>
      <c r="I97" s="113"/>
      <c r="J97" s="37" t="s">
        <v>37</v>
      </c>
    </row>
    <row r="98" spans="1:10" ht="13">
      <c r="A98" s="8" t="s">
        <v>5</v>
      </c>
      <c r="B98" s="104" t="s">
        <v>91</v>
      </c>
      <c r="C98" s="104"/>
      <c r="D98" s="104"/>
      <c r="E98" s="104"/>
      <c r="F98" s="104"/>
      <c r="G98" s="104"/>
      <c r="H98" s="104"/>
      <c r="I98" s="104"/>
      <c r="J98" s="16">
        <v>0</v>
      </c>
    </row>
    <row r="99" spans="1:10" ht="13">
      <c r="A99" s="117" t="s">
        <v>40</v>
      </c>
      <c r="B99" s="117"/>
      <c r="C99" s="117"/>
      <c r="D99" s="117"/>
      <c r="E99" s="117"/>
      <c r="F99" s="117"/>
      <c r="G99" s="117"/>
      <c r="H99" s="117"/>
      <c r="I99" s="117"/>
      <c r="J99" s="16">
        <v>0</v>
      </c>
    </row>
    <row r="100" spans="1:10" ht="13">
      <c r="A100" s="12"/>
      <c r="B100" s="104"/>
      <c r="C100" s="104"/>
      <c r="D100" s="104"/>
      <c r="E100" s="104"/>
      <c r="F100" s="104"/>
      <c r="G100" s="104"/>
      <c r="H100" s="104"/>
      <c r="I100" s="104"/>
      <c r="J100" s="13"/>
    </row>
    <row r="101" spans="1:10" ht="13">
      <c r="A101" s="105" t="s">
        <v>40</v>
      </c>
      <c r="B101" s="105"/>
      <c r="C101" s="105"/>
      <c r="D101" s="105"/>
      <c r="E101" s="105"/>
      <c r="F101" s="105"/>
      <c r="G101" s="105"/>
      <c r="H101" s="105"/>
      <c r="I101" s="105"/>
      <c r="J101" s="14">
        <f>SUM(J99:J100)</f>
        <v>0</v>
      </c>
    </row>
    <row r="102" spans="1:10" ht="13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</row>
    <row r="103" spans="1:10" ht="16.149999999999999" customHeight="1">
      <c r="A103" s="112" t="s">
        <v>92</v>
      </c>
      <c r="B103" s="112"/>
      <c r="C103" s="112"/>
      <c r="D103" s="112"/>
      <c r="E103" s="112"/>
      <c r="F103" s="112"/>
      <c r="G103" s="112"/>
      <c r="H103" s="112"/>
      <c r="I103" s="112"/>
      <c r="J103" s="112"/>
    </row>
    <row r="104" spans="1:10" ht="16.149999999999999" customHeight="1">
      <c r="A104" s="64">
        <v>4</v>
      </c>
      <c r="B104" s="115" t="s">
        <v>93</v>
      </c>
      <c r="C104" s="115"/>
      <c r="D104" s="115"/>
      <c r="E104" s="115"/>
      <c r="F104" s="115"/>
      <c r="G104" s="115"/>
      <c r="H104" s="115"/>
      <c r="I104" s="115"/>
      <c r="J104" s="37" t="s">
        <v>37</v>
      </c>
    </row>
    <row r="105" spans="1:10" ht="14.65" customHeight="1">
      <c r="A105" s="1" t="s">
        <v>81</v>
      </c>
      <c r="B105" s="109" t="s">
        <v>94</v>
      </c>
      <c r="C105" s="109"/>
      <c r="D105" s="109"/>
      <c r="E105" s="109"/>
      <c r="F105" s="109"/>
      <c r="G105" s="109"/>
      <c r="H105" s="109"/>
      <c r="I105" s="109"/>
      <c r="J105" s="16">
        <f>J95</f>
        <v>177.78126616666665</v>
      </c>
    </row>
    <row r="106" spans="1:10" ht="14.65" customHeight="1">
      <c r="A106" s="1" t="s">
        <v>95</v>
      </c>
      <c r="B106" s="109" t="s">
        <v>96</v>
      </c>
      <c r="C106" s="109"/>
      <c r="D106" s="109"/>
      <c r="E106" s="109"/>
      <c r="F106" s="109"/>
      <c r="G106" s="109"/>
      <c r="H106" s="109"/>
      <c r="I106" s="109"/>
      <c r="J106" s="16">
        <f>J101</f>
        <v>0</v>
      </c>
    </row>
    <row r="107" spans="1:10" ht="14.65" customHeight="1">
      <c r="A107" s="116" t="s">
        <v>40</v>
      </c>
      <c r="B107" s="116"/>
      <c r="C107" s="116"/>
      <c r="D107" s="116"/>
      <c r="E107" s="116"/>
      <c r="F107" s="116"/>
      <c r="G107" s="116"/>
      <c r="H107" s="116"/>
      <c r="I107" s="116"/>
      <c r="J107" s="14">
        <f>SUM(J105+J106)</f>
        <v>177.78126616666665</v>
      </c>
    </row>
    <row r="108" spans="1:10" ht="13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</row>
    <row r="109" spans="1:10" ht="16.149999999999999" customHeight="1">
      <c r="A109" s="112" t="s">
        <v>97</v>
      </c>
      <c r="B109" s="112"/>
      <c r="C109" s="112"/>
      <c r="D109" s="112"/>
      <c r="E109" s="112"/>
      <c r="F109" s="112"/>
      <c r="G109" s="112"/>
      <c r="H109" s="112"/>
      <c r="I109" s="112"/>
      <c r="J109" s="112"/>
    </row>
    <row r="110" spans="1:10" ht="16.149999999999999" customHeight="1">
      <c r="A110" s="63">
        <v>5</v>
      </c>
      <c r="B110" s="113" t="s">
        <v>98</v>
      </c>
      <c r="C110" s="113"/>
      <c r="D110" s="113"/>
      <c r="E110" s="113"/>
      <c r="F110" s="113"/>
      <c r="G110" s="113"/>
      <c r="H110" s="113"/>
      <c r="I110" s="113"/>
      <c r="J110" s="63" t="s">
        <v>37</v>
      </c>
    </row>
    <row r="111" spans="1:10" ht="13">
      <c r="A111" s="8" t="s">
        <v>5</v>
      </c>
      <c r="B111" s="104" t="s">
        <v>185</v>
      </c>
      <c r="C111" s="104"/>
      <c r="D111" s="104"/>
      <c r="E111" s="104"/>
      <c r="F111" s="104"/>
      <c r="G111" s="104"/>
      <c r="H111" s="104"/>
      <c r="I111" s="104"/>
      <c r="J111" s="16">
        <f>Descritivo!E48</f>
        <v>91.369065656565652</v>
      </c>
    </row>
    <row r="112" spans="1:10" ht="13">
      <c r="A112" s="8" t="s">
        <v>7</v>
      </c>
      <c r="B112" s="104" t="s">
        <v>99</v>
      </c>
      <c r="C112" s="104"/>
      <c r="D112" s="104"/>
      <c r="E112" s="104"/>
      <c r="F112" s="104"/>
      <c r="G112" s="104"/>
      <c r="H112" s="104"/>
      <c r="I112" s="104"/>
      <c r="J112" s="27">
        <f>Descritivo!D93</f>
        <v>116.16919191919192</v>
      </c>
    </row>
    <row r="113" spans="1:10" ht="13">
      <c r="A113" s="8" t="s">
        <v>9</v>
      </c>
      <c r="B113" s="104" t="s">
        <v>139</v>
      </c>
      <c r="C113" s="104"/>
      <c r="D113" s="104"/>
      <c r="E113" s="104"/>
      <c r="F113" s="104"/>
      <c r="G113" s="104"/>
      <c r="H113" s="104"/>
      <c r="I113" s="104"/>
      <c r="J113" s="27">
        <f>Descritivo!C101</f>
        <v>36.363636363636367</v>
      </c>
    </row>
    <row r="114" spans="1:10" ht="13">
      <c r="A114" s="8" t="s">
        <v>12</v>
      </c>
      <c r="B114" s="104" t="s">
        <v>100</v>
      </c>
      <c r="C114" s="104"/>
      <c r="D114" s="104"/>
      <c r="E114" s="104"/>
      <c r="F114" s="104"/>
      <c r="G114" s="104"/>
      <c r="H114" s="104"/>
      <c r="I114" s="104"/>
      <c r="J114" s="27"/>
    </row>
    <row r="115" spans="1:10" ht="13">
      <c r="A115" s="105" t="s">
        <v>32</v>
      </c>
      <c r="B115" s="105"/>
      <c r="C115" s="105"/>
      <c r="D115" s="105"/>
      <c r="E115" s="105"/>
      <c r="F115" s="105"/>
      <c r="G115" s="105"/>
      <c r="H115" s="105"/>
      <c r="I115" s="105"/>
      <c r="J115" s="38">
        <f>SUM(J111:J114)</f>
        <v>243.90189393939394</v>
      </c>
    </row>
    <row r="116" spans="1:10" ht="13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</row>
    <row r="117" spans="1:10" ht="16.149999999999999" customHeight="1">
      <c r="A117" s="112" t="s">
        <v>101</v>
      </c>
      <c r="B117" s="112"/>
      <c r="C117" s="112"/>
      <c r="D117" s="112"/>
      <c r="E117" s="112"/>
      <c r="F117" s="112"/>
      <c r="G117" s="112"/>
      <c r="H117" s="112"/>
      <c r="I117" s="112"/>
      <c r="J117" s="112"/>
    </row>
    <row r="118" spans="1:10" ht="28">
      <c r="A118" s="63">
        <v>6</v>
      </c>
      <c r="B118" s="113" t="s">
        <v>102</v>
      </c>
      <c r="C118" s="113"/>
      <c r="D118" s="113"/>
      <c r="E118" s="113"/>
      <c r="F118" s="113"/>
      <c r="G118" s="113"/>
      <c r="H118" s="113"/>
      <c r="I118" s="64" t="s">
        <v>44</v>
      </c>
      <c r="J118" s="39" t="s">
        <v>103</v>
      </c>
    </row>
    <row r="119" spans="1:10" ht="12.75" customHeight="1">
      <c r="A119" s="111" t="s">
        <v>104</v>
      </c>
      <c r="B119" s="111"/>
      <c r="C119" s="111"/>
      <c r="D119" s="111"/>
      <c r="E119" s="111"/>
      <c r="F119" s="111"/>
      <c r="G119" s="111"/>
      <c r="H119" s="111"/>
      <c r="I119" s="40" t="s">
        <v>64</v>
      </c>
      <c r="J119" s="41">
        <f>SUM(J30+J71+J81+J107+J115)</f>
        <v>3950.7614017727269</v>
      </c>
    </row>
    <row r="120" spans="1:10" ht="15.5">
      <c r="A120" s="42" t="s">
        <v>5</v>
      </c>
      <c r="B120" s="110" t="s">
        <v>105</v>
      </c>
      <c r="C120" s="110"/>
      <c r="D120" s="110"/>
      <c r="E120" s="110"/>
      <c r="F120" s="110"/>
      <c r="G120" s="110"/>
      <c r="H120" s="110"/>
      <c r="I120" s="15">
        <v>0.1091</v>
      </c>
      <c r="J120" s="16">
        <f>ROUND(I120*J119,2)</f>
        <v>431.03</v>
      </c>
    </row>
    <row r="121" spans="1:10" ht="12.75" customHeight="1">
      <c r="A121" s="111" t="s">
        <v>106</v>
      </c>
      <c r="B121" s="111"/>
      <c r="C121" s="111"/>
      <c r="D121" s="111"/>
      <c r="E121" s="111"/>
      <c r="F121" s="111"/>
      <c r="G121" s="111"/>
      <c r="H121" s="111"/>
      <c r="I121" s="43" t="s">
        <v>64</v>
      </c>
      <c r="J121" s="41">
        <f>SUM(J30+J71+J81+J107+J115+J120)</f>
        <v>4381.7914017727271</v>
      </c>
    </row>
    <row r="122" spans="1:10" ht="15.5">
      <c r="A122" s="42" t="s">
        <v>7</v>
      </c>
      <c r="B122" s="110" t="s">
        <v>107</v>
      </c>
      <c r="C122" s="110"/>
      <c r="D122" s="110"/>
      <c r="E122" s="110"/>
      <c r="F122" s="110"/>
      <c r="G122" s="110"/>
      <c r="H122" s="110"/>
      <c r="I122" s="20">
        <v>0.15109700000000001</v>
      </c>
      <c r="J122" s="16">
        <f>ROUND(I122*J121,2)</f>
        <v>662.08</v>
      </c>
    </row>
    <row r="123" spans="1:10" ht="12.75" customHeight="1">
      <c r="A123" s="111" t="s">
        <v>108</v>
      </c>
      <c r="B123" s="111"/>
      <c r="C123" s="111"/>
      <c r="D123" s="111"/>
      <c r="E123" s="111"/>
      <c r="F123" s="111"/>
      <c r="G123" s="111"/>
      <c r="H123" s="111"/>
      <c r="I123" s="43" t="s">
        <v>64</v>
      </c>
      <c r="J123" s="41">
        <f>SUM(J30+J71+J81+J107+J115+J120+J122)</f>
        <v>5043.871401772727</v>
      </c>
    </row>
    <row r="124" spans="1:10" ht="15.5">
      <c r="A124" s="42" t="s">
        <v>9</v>
      </c>
      <c r="B124" s="110" t="s">
        <v>109</v>
      </c>
      <c r="C124" s="110"/>
      <c r="D124" s="110"/>
      <c r="E124" s="110"/>
      <c r="F124" s="110"/>
      <c r="G124" s="110"/>
      <c r="H124" s="110"/>
      <c r="I124" s="9" t="s">
        <v>64</v>
      </c>
      <c r="J124" s="51" t="s">
        <v>64</v>
      </c>
    </row>
    <row r="125" spans="1:10" ht="13">
      <c r="A125" s="8"/>
      <c r="B125" s="104" t="s">
        <v>110</v>
      </c>
      <c r="C125" s="104"/>
      <c r="D125" s="104"/>
      <c r="E125" s="104"/>
      <c r="F125" s="104"/>
      <c r="G125" s="104"/>
      <c r="H125" s="104"/>
      <c r="I125" s="9" t="s">
        <v>64</v>
      </c>
      <c r="J125" s="51" t="s">
        <v>64</v>
      </c>
    </row>
    <row r="126" spans="1:10" ht="13">
      <c r="A126" s="8"/>
      <c r="B126" s="104" t="s">
        <v>111</v>
      </c>
      <c r="C126" s="104"/>
      <c r="D126" s="104"/>
      <c r="E126" s="104"/>
      <c r="F126" s="104"/>
      <c r="G126" s="104"/>
      <c r="H126" s="104"/>
      <c r="I126" s="44">
        <v>0.03</v>
      </c>
      <c r="J126" s="16">
        <f>ROUND(($J$123/(1-$I$135))*I126,2)</f>
        <v>165.64</v>
      </c>
    </row>
    <row r="127" spans="1:10" ht="13">
      <c r="A127" s="8"/>
      <c r="B127" s="104" t="s">
        <v>112</v>
      </c>
      <c r="C127" s="104"/>
      <c r="D127" s="104"/>
      <c r="E127" s="104"/>
      <c r="F127" s="104"/>
      <c r="G127" s="104"/>
      <c r="H127" s="104"/>
      <c r="I127" s="44">
        <v>6.4999999999999997E-3</v>
      </c>
      <c r="J127" s="16">
        <f>ROUND(($J$123/(1-$I$135))*I127,2)</f>
        <v>35.89</v>
      </c>
    </row>
    <row r="128" spans="1:10" ht="27.65" customHeight="1">
      <c r="A128" s="8"/>
      <c r="B128" s="109" t="s">
        <v>113</v>
      </c>
      <c r="C128" s="109"/>
      <c r="D128" s="109"/>
      <c r="E128" s="109"/>
      <c r="F128" s="109"/>
      <c r="G128" s="109"/>
      <c r="H128" s="109"/>
      <c r="I128" s="45" t="s">
        <v>64</v>
      </c>
      <c r="J128" s="51" t="s">
        <v>64</v>
      </c>
    </row>
    <row r="129" spans="1:10" ht="27.65" customHeight="1">
      <c r="A129" s="8"/>
      <c r="B129" s="109" t="s">
        <v>114</v>
      </c>
      <c r="C129" s="109"/>
      <c r="D129" s="109"/>
      <c r="E129" s="109"/>
      <c r="F129" s="109"/>
      <c r="G129" s="109"/>
      <c r="H129" s="109"/>
      <c r="I129" s="45" t="s">
        <v>64</v>
      </c>
      <c r="J129" s="51" t="s">
        <v>64</v>
      </c>
    </row>
    <row r="130" spans="1:10" ht="13">
      <c r="A130" s="8"/>
      <c r="B130" s="104" t="s">
        <v>115</v>
      </c>
      <c r="C130" s="104"/>
      <c r="D130" s="104"/>
      <c r="E130" s="104"/>
      <c r="F130" s="104"/>
      <c r="G130" s="104"/>
      <c r="H130" s="104"/>
      <c r="I130" s="45" t="s">
        <v>64</v>
      </c>
      <c r="J130" s="51" t="s">
        <v>64</v>
      </c>
    </row>
    <row r="131" spans="1:10" ht="13">
      <c r="A131" s="8"/>
      <c r="B131" s="104" t="s">
        <v>116</v>
      </c>
      <c r="C131" s="104"/>
      <c r="D131" s="104"/>
      <c r="E131" s="104"/>
      <c r="F131" s="104"/>
      <c r="G131" s="104"/>
      <c r="H131" s="104"/>
      <c r="I131" s="45" t="s">
        <v>64</v>
      </c>
      <c r="J131" s="51" t="s">
        <v>64</v>
      </c>
    </row>
    <row r="132" spans="1:10" ht="13">
      <c r="A132" s="8"/>
      <c r="B132" s="104" t="s">
        <v>134</v>
      </c>
      <c r="C132" s="104"/>
      <c r="D132" s="104"/>
      <c r="E132" s="104"/>
      <c r="F132" s="104"/>
      <c r="G132" s="104"/>
      <c r="H132" s="104"/>
      <c r="I132" s="44">
        <v>0.05</v>
      </c>
      <c r="J132" s="16">
        <f>ROUND(($J$123/(1-$I$135))*I132,2)</f>
        <v>276.07</v>
      </c>
    </row>
    <row r="133" spans="1:10" ht="13">
      <c r="A133" s="105" t="s">
        <v>40</v>
      </c>
      <c r="B133" s="105"/>
      <c r="C133" s="105"/>
      <c r="D133" s="105"/>
      <c r="E133" s="105"/>
      <c r="F133" s="105"/>
      <c r="G133" s="105"/>
      <c r="H133" s="105"/>
      <c r="I133" s="105"/>
      <c r="J133" s="14">
        <f>SUM(J120+J122+J126+J127+J132)</f>
        <v>1570.71</v>
      </c>
    </row>
    <row r="134" spans="1:10" ht="13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</row>
    <row r="135" spans="1:10" ht="14.65" customHeight="1">
      <c r="A135" s="106" t="s">
        <v>117</v>
      </c>
      <c r="B135" s="106"/>
      <c r="C135" s="106"/>
      <c r="D135" s="106"/>
      <c r="E135" s="106"/>
      <c r="F135" s="106"/>
      <c r="G135" s="106"/>
      <c r="H135" s="106"/>
      <c r="I135" s="46">
        <f>SUM(I126:I132)</f>
        <v>8.6499999999999994E-2</v>
      </c>
      <c r="J135" s="41">
        <f>SUM(J126:J132)</f>
        <v>477.59999999999997</v>
      </c>
    </row>
    <row r="136" spans="1:10">
      <c r="A136" s="107" t="s">
        <v>118</v>
      </c>
      <c r="B136" s="107"/>
      <c r="C136" s="107"/>
      <c r="D136" s="108" t="s">
        <v>119</v>
      </c>
      <c r="E136" s="108"/>
      <c r="F136" s="108"/>
      <c r="G136" s="108"/>
      <c r="H136" s="108"/>
      <c r="I136" s="108"/>
      <c r="J136" s="108"/>
    </row>
    <row r="137" spans="1:10">
      <c r="A137" s="107"/>
      <c r="B137" s="107"/>
      <c r="C137" s="107"/>
      <c r="D137" s="108" t="s">
        <v>120</v>
      </c>
      <c r="E137" s="108"/>
      <c r="F137" s="108"/>
      <c r="G137" s="108"/>
      <c r="H137" s="108"/>
      <c r="I137" s="108"/>
      <c r="J137" s="108"/>
    </row>
    <row r="138" spans="1:10">
      <c r="A138" s="107"/>
      <c r="B138" s="107"/>
      <c r="C138" s="107"/>
      <c r="D138" s="108" t="s">
        <v>121</v>
      </c>
      <c r="E138" s="108"/>
      <c r="F138" s="108"/>
      <c r="G138" s="108"/>
      <c r="H138" s="108"/>
      <c r="I138" s="108"/>
      <c r="J138" s="108"/>
    </row>
    <row r="139" spans="1:10" ht="13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</row>
    <row r="140" spans="1:10" ht="46" customHeight="1">
      <c r="A140" s="102" t="s">
        <v>122</v>
      </c>
      <c r="B140" s="102"/>
      <c r="C140" s="102"/>
      <c r="D140" s="102"/>
      <c r="E140" s="102"/>
      <c r="F140" s="102"/>
      <c r="G140" s="102"/>
      <c r="H140" s="102"/>
      <c r="I140" s="102"/>
      <c r="J140" s="102"/>
    </row>
    <row r="141" spans="1:10" ht="14.65" customHeight="1">
      <c r="A141" s="103" t="s">
        <v>123</v>
      </c>
      <c r="B141" s="103"/>
      <c r="C141" s="103"/>
      <c r="D141" s="103"/>
      <c r="E141" s="103"/>
      <c r="F141" s="103"/>
      <c r="G141" s="103"/>
      <c r="H141" s="103"/>
      <c r="I141" s="103"/>
      <c r="J141" s="47" t="s">
        <v>37</v>
      </c>
    </row>
    <row r="142" spans="1:10" ht="14.65" customHeight="1">
      <c r="A142" s="48" t="s">
        <v>5</v>
      </c>
      <c r="B142" s="99" t="s">
        <v>124</v>
      </c>
      <c r="C142" s="99"/>
      <c r="D142" s="99"/>
      <c r="E142" s="99"/>
      <c r="F142" s="99"/>
      <c r="G142" s="99"/>
      <c r="H142" s="99"/>
      <c r="I142" s="99"/>
      <c r="J142" s="27">
        <f>J30</f>
        <v>1921.62</v>
      </c>
    </row>
    <row r="143" spans="1:10" ht="14.65" customHeight="1">
      <c r="A143" s="48" t="s">
        <v>7</v>
      </c>
      <c r="B143" s="99" t="s">
        <v>33</v>
      </c>
      <c r="C143" s="99"/>
      <c r="D143" s="99"/>
      <c r="E143" s="99"/>
      <c r="F143" s="99"/>
      <c r="G143" s="99"/>
      <c r="H143" s="99"/>
      <c r="I143" s="99"/>
      <c r="J143" s="27">
        <f>J71</f>
        <v>1526.0099999999998</v>
      </c>
    </row>
    <row r="144" spans="1:10" ht="14.65" customHeight="1">
      <c r="A144" s="48" t="s">
        <v>9</v>
      </c>
      <c r="B144" s="99" t="s">
        <v>125</v>
      </c>
      <c r="C144" s="99"/>
      <c r="D144" s="99"/>
      <c r="E144" s="99"/>
      <c r="F144" s="99"/>
      <c r="G144" s="99"/>
      <c r="H144" s="99"/>
      <c r="I144" s="99"/>
      <c r="J144" s="27">
        <f>J81</f>
        <v>81.448241666666661</v>
      </c>
    </row>
    <row r="145" spans="1:12" ht="14.65" customHeight="1">
      <c r="A145" s="48" t="s">
        <v>12</v>
      </c>
      <c r="B145" s="99" t="s">
        <v>126</v>
      </c>
      <c r="C145" s="99"/>
      <c r="D145" s="99"/>
      <c r="E145" s="99"/>
      <c r="F145" s="99"/>
      <c r="G145" s="99"/>
      <c r="H145" s="99"/>
      <c r="I145" s="99"/>
      <c r="J145" s="27">
        <f>J107</f>
        <v>177.78126616666665</v>
      </c>
    </row>
    <row r="146" spans="1:12" ht="14.65" customHeight="1">
      <c r="A146" s="48" t="s">
        <v>29</v>
      </c>
      <c r="B146" s="99" t="s">
        <v>127</v>
      </c>
      <c r="C146" s="99"/>
      <c r="D146" s="99"/>
      <c r="E146" s="99"/>
      <c r="F146" s="99"/>
      <c r="G146" s="99"/>
      <c r="H146" s="99"/>
      <c r="I146" s="99"/>
      <c r="J146" s="27">
        <f>J115</f>
        <v>243.90189393939394</v>
      </c>
    </row>
    <row r="147" spans="1:12" ht="14.65" customHeight="1">
      <c r="A147" s="100" t="s">
        <v>128</v>
      </c>
      <c r="B147" s="100"/>
      <c r="C147" s="100"/>
      <c r="D147" s="100"/>
      <c r="E147" s="100"/>
      <c r="F147" s="100"/>
      <c r="G147" s="100"/>
      <c r="H147" s="100"/>
      <c r="I147" s="100"/>
      <c r="J147" s="38">
        <f>SUM(J142:J146)</f>
        <v>3950.7614017727269</v>
      </c>
    </row>
    <row r="148" spans="1:12" ht="14.65" customHeight="1">
      <c r="A148" s="48" t="s">
        <v>53</v>
      </c>
      <c r="B148" s="99" t="s">
        <v>129</v>
      </c>
      <c r="C148" s="99"/>
      <c r="D148" s="99"/>
      <c r="E148" s="99"/>
      <c r="F148" s="99"/>
      <c r="G148" s="99"/>
      <c r="H148" s="99"/>
      <c r="I148" s="99"/>
      <c r="J148" s="27">
        <f>J133</f>
        <v>1570.71</v>
      </c>
    </row>
    <row r="149" spans="1:12" ht="14.65" customHeight="1">
      <c r="A149" s="100" t="s">
        <v>130</v>
      </c>
      <c r="B149" s="100"/>
      <c r="C149" s="100"/>
      <c r="D149" s="100"/>
      <c r="E149" s="100"/>
      <c r="F149" s="100"/>
      <c r="G149" s="100"/>
      <c r="H149" s="100"/>
      <c r="I149" s="100"/>
      <c r="J149" s="38">
        <f>SUM(J147:J148)</f>
        <v>5521.4714017727274</v>
      </c>
    </row>
    <row r="150" spans="1:12" ht="27.5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A1:J1"/>
    <mergeCell ref="A2:J2"/>
    <mergeCell ref="A3:G3"/>
    <mergeCell ref="H3:J3"/>
    <mergeCell ref="A4:G4"/>
    <mergeCell ref="H4:J4"/>
    <mergeCell ref="B61:H61"/>
    <mergeCell ref="B62:H62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60:H60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97D50-F14E-436B-8C7F-2B0FEE636D1C}">
  <sheetPr>
    <tabColor rgb="FF0070C0"/>
  </sheetPr>
  <dimension ref="A1:Q172"/>
  <sheetViews>
    <sheetView showGridLines="0" view="pageBreakPreview" topLeftCell="A43" zoomScaleNormal="100" zoomScaleSheetLayoutView="100" zoomScalePageLayoutView="95" workbookViewId="0">
      <selection activeCell="J64" sqref="J64"/>
    </sheetView>
  </sheetViews>
  <sheetFormatPr defaultRowHeight="12.5"/>
  <cols>
    <col min="1" max="9" width="8.7265625" customWidth="1"/>
    <col min="10" max="10" width="15.453125" customWidth="1"/>
    <col min="11" max="11" width="17.453125" customWidth="1"/>
    <col min="12" max="12" width="17" customWidth="1"/>
    <col min="13" max="16" width="8.7265625" customWidth="1"/>
    <col min="17" max="17" width="10.81640625" customWidth="1"/>
    <col min="18" max="1025" width="8.7265625" customWidth="1"/>
  </cols>
  <sheetData>
    <row r="1" spans="1:12" ht="24.25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2" ht="46.5" customHeight="1">
      <c r="A2" s="136" t="s">
        <v>297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2" ht="14.65" customHeight="1">
      <c r="A3" s="109" t="s">
        <v>1</v>
      </c>
      <c r="B3" s="109"/>
      <c r="C3" s="109"/>
      <c r="D3" s="109"/>
      <c r="E3" s="109"/>
      <c r="F3" s="109"/>
      <c r="G3" s="109"/>
      <c r="H3" s="138" t="s">
        <v>145</v>
      </c>
      <c r="I3" s="139"/>
      <c r="J3" s="139"/>
    </row>
    <row r="4" spans="1:12" ht="14.65" customHeight="1">
      <c r="A4" s="109" t="s">
        <v>2</v>
      </c>
      <c r="B4" s="109"/>
      <c r="C4" s="109"/>
      <c r="D4" s="109"/>
      <c r="E4" s="109"/>
      <c r="F4" s="109"/>
      <c r="G4" s="109"/>
      <c r="H4" s="140" t="s">
        <v>144</v>
      </c>
      <c r="I4" s="139"/>
      <c r="J4" s="139"/>
    </row>
    <row r="5" spans="1:12" ht="14.65" customHeight="1">
      <c r="A5" s="109" t="s">
        <v>3</v>
      </c>
      <c r="B5" s="109"/>
      <c r="C5" s="109"/>
      <c r="D5" s="109"/>
      <c r="E5" s="109"/>
      <c r="F5" s="109"/>
      <c r="G5" s="109"/>
      <c r="H5" s="109"/>
      <c r="I5" s="109"/>
      <c r="J5" s="109"/>
    </row>
    <row r="6" spans="1:12" ht="16.149999999999999" customHeight="1">
      <c r="A6" s="142" t="s">
        <v>4</v>
      </c>
      <c r="B6" s="142"/>
      <c r="C6" s="142"/>
      <c r="D6" s="142"/>
      <c r="E6" s="142"/>
      <c r="F6" s="142"/>
      <c r="G6" s="142"/>
      <c r="H6" s="142"/>
      <c r="I6" s="142"/>
      <c r="J6" s="142"/>
    </row>
    <row r="7" spans="1:12" ht="14.65" customHeight="1">
      <c r="A7" s="1" t="s">
        <v>5</v>
      </c>
      <c r="B7" s="109" t="s">
        <v>6</v>
      </c>
      <c r="C7" s="109"/>
      <c r="D7" s="109"/>
      <c r="E7" s="109"/>
      <c r="F7" s="109"/>
      <c r="G7" s="109"/>
      <c r="H7" s="141">
        <v>44029</v>
      </c>
      <c r="I7" s="141"/>
      <c r="J7" s="141"/>
    </row>
    <row r="8" spans="1:12" ht="14.65" customHeight="1">
      <c r="A8" s="1" t="s">
        <v>7</v>
      </c>
      <c r="B8" s="109" t="s">
        <v>8</v>
      </c>
      <c r="C8" s="109"/>
      <c r="D8" s="109"/>
      <c r="E8" s="109"/>
      <c r="F8" s="109"/>
      <c r="G8" s="109"/>
      <c r="H8" s="141" t="s">
        <v>140</v>
      </c>
      <c r="I8" s="141"/>
      <c r="J8" s="141"/>
    </row>
    <row r="9" spans="1:12" ht="39" customHeight="1">
      <c r="A9" s="1" t="s">
        <v>9</v>
      </c>
      <c r="B9" s="109" t="s">
        <v>10</v>
      </c>
      <c r="C9" s="109"/>
      <c r="D9" s="109"/>
      <c r="E9" s="109"/>
      <c r="F9" s="109"/>
      <c r="G9" s="109"/>
      <c r="H9" s="141" t="s">
        <v>11</v>
      </c>
      <c r="I9" s="141"/>
      <c r="J9" s="141"/>
      <c r="L9" s="55"/>
    </row>
    <row r="10" spans="1:12" ht="14.65" customHeight="1">
      <c r="A10" s="1" t="s">
        <v>12</v>
      </c>
      <c r="B10" s="109" t="s">
        <v>13</v>
      </c>
      <c r="C10" s="109"/>
      <c r="D10" s="109"/>
      <c r="E10" s="109"/>
      <c r="F10" s="109"/>
      <c r="G10" s="109"/>
      <c r="H10" s="139">
        <v>12</v>
      </c>
      <c r="I10" s="139"/>
      <c r="J10" s="139"/>
    </row>
    <row r="11" spans="1:12" ht="13">
      <c r="A11" s="101"/>
      <c r="B11" s="101"/>
      <c r="C11" s="101"/>
      <c r="D11" s="101"/>
      <c r="E11" s="101"/>
      <c r="F11" s="101"/>
      <c r="G11" s="101"/>
      <c r="H11" s="101"/>
      <c r="I11" s="101"/>
      <c r="J11" s="101"/>
    </row>
    <row r="12" spans="1:12" ht="48.75" customHeight="1">
      <c r="A12" s="132" t="s">
        <v>14</v>
      </c>
      <c r="B12" s="132"/>
      <c r="C12" s="132"/>
      <c r="D12" s="132"/>
      <c r="E12" s="132"/>
      <c r="F12" s="132"/>
      <c r="G12" s="132"/>
      <c r="H12" s="132"/>
      <c r="I12" s="132"/>
      <c r="J12" s="132"/>
      <c r="L12" s="55"/>
    </row>
    <row r="13" spans="1:12" ht="13">
      <c r="A13" s="101"/>
      <c r="B13" s="101"/>
      <c r="C13" s="101"/>
      <c r="D13" s="101"/>
      <c r="E13" s="101"/>
      <c r="F13" s="101"/>
      <c r="G13" s="101"/>
      <c r="H13" s="101"/>
      <c r="I13" s="101"/>
      <c r="J13" s="101"/>
    </row>
    <row r="14" spans="1:12" ht="16.149999999999999" customHeight="1">
      <c r="A14" s="115" t="s">
        <v>15</v>
      </c>
      <c r="B14" s="115"/>
      <c r="C14" s="115"/>
      <c r="D14" s="115"/>
      <c r="E14" s="115"/>
      <c r="F14" s="115"/>
      <c r="G14" s="115"/>
      <c r="H14" s="115"/>
      <c r="I14" s="115"/>
      <c r="J14" s="115"/>
      <c r="L14" s="55"/>
    </row>
    <row r="15" spans="1:12" ht="16.149999999999999" customHeight="1">
      <c r="A15" s="1">
        <v>1</v>
      </c>
      <c r="B15" s="109" t="s">
        <v>16</v>
      </c>
      <c r="C15" s="109"/>
      <c r="D15" s="109"/>
      <c r="E15" s="109"/>
      <c r="F15" s="109"/>
      <c r="G15" s="109"/>
      <c r="H15" s="134" t="s">
        <v>17</v>
      </c>
      <c r="I15" s="134"/>
      <c r="J15" s="134"/>
    </row>
    <row r="16" spans="1:12" ht="16.149999999999999" customHeight="1">
      <c r="A16" s="1">
        <v>2</v>
      </c>
      <c r="B16" s="109" t="s">
        <v>18</v>
      </c>
      <c r="C16" s="109"/>
      <c r="D16" s="109"/>
      <c r="E16" s="109"/>
      <c r="F16" s="109"/>
      <c r="G16" s="109"/>
      <c r="H16" s="134">
        <v>9511</v>
      </c>
      <c r="I16" s="134"/>
      <c r="J16" s="134"/>
    </row>
    <row r="17" spans="1:17" ht="16.149999999999999" customHeight="1">
      <c r="A17" s="1">
        <v>3</v>
      </c>
      <c r="B17" s="109" t="s">
        <v>19</v>
      </c>
      <c r="C17" s="109"/>
      <c r="D17" s="109"/>
      <c r="E17" s="109"/>
      <c r="F17" s="109"/>
      <c r="G17" s="109"/>
      <c r="H17" s="143">
        <v>1601.35</v>
      </c>
      <c r="I17" s="143"/>
      <c r="J17" s="143"/>
    </row>
    <row r="18" spans="1:17" ht="16.149999999999999" customHeight="1">
      <c r="A18" s="1">
        <v>4</v>
      </c>
      <c r="B18" s="109" t="s">
        <v>20</v>
      </c>
      <c r="C18" s="109"/>
      <c r="D18" s="109"/>
      <c r="E18" s="109"/>
      <c r="F18" s="109"/>
      <c r="G18" s="109"/>
      <c r="H18" s="134" t="s">
        <v>176</v>
      </c>
      <c r="I18" s="134"/>
      <c r="J18" s="134"/>
    </row>
    <row r="19" spans="1:17" ht="16.149999999999999" customHeight="1">
      <c r="A19" s="1">
        <v>5</v>
      </c>
      <c r="B19" s="109" t="s">
        <v>21</v>
      </c>
      <c r="C19" s="109"/>
      <c r="D19" s="109"/>
      <c r="E19" s="109"/>
      <c r="F19" s="109"/>
      <c r="G19" s="109"/>
      <c r="H19" s="133" t="s">
        <v>141</v>
      </c>
      <c r="I19" s="133"/>
      <c r="J19" s="133"/>
    </row>
    <row r="20" spans="1:17" ht="16.149999999999999" customHeight="1">
      <c r="A20" s="1">
        <v>5</v>
      </c>
      <c r="B20" s="109" t="s">
        <v>133</v>
      </c>
      <c r="C20" s="109"/>
      <c r="D20" s="109"/>
      <c r="E20" s="109"/>
      <c r="F20" s="109"/>
      <c r="G20" s="109"/>
      <c r="H20" s="131">
        <v>40</v>
      </c>
      <c r="I20" s="131"/>
      <c r="J20" s="131"/>
    </row>
    <row r="21" spans="1:17" ht="13">
      <c r="A21" s="101"/>
      <c r="B21" s="101"/>
      <c r="C21" s="101"/>
      <c r="D21" s="101"/>
      <c r="E21" s="101"/>
      <c r="F21" s="101"/>
      <c r="G21" s="101"/>
      <c r="H21" s="101"/>
      <c r="I21" s="101"/>
      <c r="J21" s="101"/>
    </row>
    <row r="22" spans="1:17" ht="20.65" customHeight="1">
      <c r="A22" s="132" t="s">
        <v>22</v>
      </c>
      <c r="B22" s="132"/>
      <c r="C22" s="132"/>
      <c r="D22" s="132"/>
      <c r="E22" s="132"/>
      <c r="F22" s="132"/>
      <c r="G22" s="132"/>
      <c r="H22" s="132"/>
      <c r="I22" s="132"/>
      <c r="J22" s="132"/>
    </row>
    <row r="23" spans="1:17" ht="30.4" customHeight="1">
      <c r="A23" s="68">
        <v>1</v>
      </c>
      <c r="B23" s="115" t="s">
        <v>23</v>
      </c>
      <c r="C23" s="115"/>
      <c r="D23" s="115"/>
      <c r="E23" s="115"/>
      <c r="F23" s="115"/>
      <c r="G23" s="115"/>
      <c r="H23" s="115" t="s">
        <v>24</v>
      </c>
      <c r="I23" s="115"/>
      <c r="J23" s="68" t="s">
        <v>25</v>
      </c>
    </row>
    <row r="24" spans="1:17" ht="12.75" customHeight="1">
      <c r="A24" s="1" t="s">
        <v>5</v>
      </c>
      <c r="B24" s="109" t="s">
        <v>143</v>
      </c>
      <c r="C24" s="109"/>
      <c r="D24" s="109"/>
      <c r="E24" s="109"/>
      <c r="F24" s="109"/>
      <c r="G24" s="109"/>
      <c r="H24" s="109"/>
      <c r="I24" s="109"/>
      <c r="J24" s="2">
        <f>ROUND(H17/44*H20,2)</f>
        <v>1455.77</v>
      </c>
    </row>
    <row r="25" spans="1:17" ht="12.75" customHeight="1">
      <c r="A25" s="67" t="s">
        <v>7</v>
      </c>
      <c r="B25" s="109" t="s">
        <v>26</v>
      </c>
      <c r="C25" s="109"/>
      <c r="D25" s="109"/>
      <c r="E25" s="109"/>
      <c r="F25" s="109"/>
      <c r="G25" s="109"/>
      <c r="H25" s="109"/>
      <c r="I25" s="3"/>
      <c r="J25" s="2"/>
      <c r="K25" s="57"/>
    </row>
    <row r="26" spans="1:17" ht="12.75" customHeight="1">
      <c r="A26" s="67" t="s">
        <v>9</v>
      </c>
      <c r="B26" s="109" t="s">
        <v>27</v>
      </c>
      <c r="C26" s="109"/>
      <c r="D26" s="109"/>
      <c r="E26" s="109"/>
      <c r="F26" s="109"/>
      <c r="G26" s="109"/>
      <c r="H26" s="109"/>
      <c r="I26" s="109"/>
      <c r="J26" s="2"/>
    </row>
    <row r="27" spans="1:17" ht="12.75" customHeight="1">
      <c r="A27" s="67" t="s">
        <v>12</v>
      </c>
      <c r="B27" s="109" t="s">
        <v>28</v>
      </c>
      <c r="C27" s="109"/>
      <c r="D27" s="109"/>
      <c r="E27" s="109"/>
      <c r="F27" s="109"/>
      <c r="G27" s="109"/>
      <c r="H27" s="109"/>
      <c r="I27" s="109"/>
      <c r="J27" s="2"/>
    </row>
    <row r="28" spans="1:17" ht="12.75" customHeight="1">
      <c r="A28" s="67" t="s">
        <v>29</v>
      </c>
      <c r="B28" s="109" t="s">
        <v>30</v>
      </c>
      <c r="C28" s="109"/>
      <c r="D28" s="109"/>
      <c r="E28" s="109"/>
      <c r="F28" s="109"/>
      <c r="G28" s="109"/>
      <c r="H28" s="109"/>
      <c r="I28" s="109"/>
      <c r="J28" s="2"/>
      <c r="Q28" s="54"/>
    </row>
    <row r="29" spans="1:17" ht="12.75" customHeight="1">
      <c r="A29" s="1" t="s">
        <v>7</v>
      </c>
      <c r="B29" s="109" t="s">
        <v>31</v>
      </c>
      <c r="C29" s="109"/>
      <c r="D29" s="109"/>
      <c r="E29" s="109"/>
      <c r="F29" s="109"/>
      <c r="G29" s="109"/>
      <c r="H29" s="109"/>
      <c r="I29" s="4">
        <v>0.2</v>
      </c>
      <c r="J29" s="2">
        <f>I29*J24</f>
        <v>291.154</v>
      </c>
      <c r="Q29" s="54"/>
    </row>
    <row r="30" spans="1:17" ht="15.75" customHeight="1">
      <c r="A30" s="116" t="s">
        <v>32</v>
      </c>
      <c r="B30" s="116"/>
      <c r="C30" s="116"/>
      <c r="D30" s="116"/>
      <c r="E30" s="116"/>
      <c r="F30" s="116"/>
      <c r="G30" s="116"/>
      <c r="H30" s="116"/>
      <c r="I30" s="116"/>
      <c r="J30" s="5">
        <f>SUM(J24:J29)</f>
        <v>1746.924</v>
      </c>
    </row>
    <row r="31" spans="1:17" ht="13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Q31" s="54"/>
    </row>
    <row r="32" spans="1:17" ht="16.149999999999999" customHeight="1">
      <c r="A32" s="112" t="s">
        <v>33</v>
      </c>
      <c r="B32" s="112"/>
      <c r="C32" s="112"/>
      <c r="D32" s="112"/>
      <c r="E32" s="112"/>
      <c r="F32" s="112"/>
      <c r="G32" s="112"/>
      <c r="H32" s="112"/>
      <c r="I32" s="112"/>
      <c r="J32" s="112"/>
    </row>
    <row r="33" spans="1:13" ht="14">
      <c r="A33" s="129" t="s">
        <v>34</v>
      </c>
      <c r="B33" s="129"/>
      <c r="C33" s="129"/>
      <c r="D33" s="129"/>
      <c r="E33" s="129"/>
      <c r="F33" s="129"/>
      <c r="G33" s="129"/>
      <c r="H33" s="129"/>
      <c r="I33" s="129"/>
      <c r="J33" s="129"/>
    </row>
    <row r="34" spans="1:13" ht="14">
      <c r="A34" s="6" t="s">
        <v>35</v>
      </c>
      <c r="B34" s="130" t="s">
        <v>36</v>
      </c>
      <c r="C34" s="130"/>
      <c r="D34" s="130"/>
      <c r="E34" s="130"/>
      <c r="F34" s="130"/>
      <c r="G34" s="130"/>
      <c r="H34" s="130"/>
      <c r="I34" s="130"/>
      <c r="J34" s="7" t="s">
        <v>37</v>
      </c>
    </row>
    <row r="35" spans="1:13" ht="27.65" customHeight="1">
      <c r="A35" s="8" t="s">
        <v>5</v>
      </c>
      <c r="B35" s="109" t="s">
        <v>38</v>
      </c>
      <c r="C35" s="109"/>
      <c r="D35" s="109"/>
      <c r="E35" s="109"/>
      <c r="F35" s="109"/>
      <c r="G35" s="109"/>
      <c r="H35" s="109"/>
      <c r="I35" s="9">
        <v>8.3299999999999999E-2</v>
      </c>
      <c r="J35" s="10">
        <f>ROUND($J$30*I35,2)</f>
        <v>145.52000000000001</v>
      </c>
      <c r="M35" s="55"/>
    </row>
    <row r="36" spans="1:13" ht="36.25" customHeight="1">
      <c r="A36" s="8" t="s">
        <v>7</v>
      </c>
      <c r="B36" s="120" t="s">
        <v>39</v>
      </c>
      <c r="C36" s="120"/>
      <c r="D36" s="120"/>
      <c r="E36" s="120"/>
      <c r="F36" s="120"/>
      <c r="G36" s="120"/>
      <c r="H36" s="120"/>
      <c r="I36" s="11">
        <v>3.0249999999999999E-2</v>
      </c>
      <c r="J36" s="10">
        <f>ROUND($J$30*I36,2)</f>
        <v>52.84</v>
      </c>
    </row>
    <row r="37" spans="1:13" ht="13">
      <c r="A37" s="128" t="s">
        <v>40</v>
      </c>
      <c r="B37" s="128"/>
      <c r="C37" s="128"/>
      <c r="D37" s="128"/>
      <c r="E37" s="128"/>
      <c r="F37" s="128"/>
      <c r="G37" s="128"/>
      <c r="H37" s="128"/>
      <c r="I37" s="128"/>
      <c r="J37" s="70">
        <f>SUM(J35+J36)</f>
        <v>198.36</v>
      </c>
    </row>
    <row r="38" spans="1:13" ht="13">
      <c r="A38" s="101"/>
      <c r="B38" s="101"/>
      <c r="C38" s="101"/>
      <c r="D38" s="101"/>
      <c r="E38" s="101"/>
      <c r="F38" s="101"/>
      <c r="G38" s="101"/>
      <c r="H38" s="101"/>
      <c r="I38" s="101"/>
      <c r="J38" s="101"/>
    </row>
    <row r="39" spans="1:13" ht="30.4" customHeight="1">
      <c r="A39" s="112" t="s">
        <v>41</v>
      </c>
      <c r="B39" s="112"/>
      <c r="C39" s="112"/>
      <c r="D39" s="112"/>
      <c r="E39" s="112"/>
      <c r="F39" s="112"/>
      <c r="G39" s="112"/>
      <c r="H39" s="112"/>
      <c r="I39" s="112"/>
      <c r="J39" s="112"/>
    </row>
    <row r="40" spans="1:13" ht="30.4" customHeight="1">
      <c r="A40" s="69" t="s">
        <v>42</v>
      </c>
      <c r="B40" s="113" t="s">
        <v>43</v>
      </c>
      <c r="C40" s="113"/>
      <c r="D40" s="113"/>
      <c r="E40" s="113"/>
      <c r="F40" s="113"/>
      <c r="G40" s="113"/>
      <c r="H40" s="113"/>
      <c r="I40" s="68" t="s">
        <v>44</v>
      </c>
      <c r="J40" s="68" t="s">
        <v>45</v>
      </c>
    </row>
    <row r="41" spans="1:13" ht="13">
      <c r="A41" s="8" t="s">
        <v>5</v>
      </c>
      <c r="B41" s="104" t="s">
        <v>46</v>
      </c>
      <c r="C41" s="104"/>
      <c r="D41" s="104"/>
      <c r="E41" s="104"/>
      <c r="F41" s="104"/>
      <c r="G41" s="104"/>
      <c r="H41" s="104"/>
      <c r="I41" s="15">
        <v>0.2</v>
      </c>
      <c r="J41" s="16">
        <f>ROUND(($J$30+$J$37)*I41,2)</f>
        <v>389.06</v>
      </c>
    </row>
    <row r="42" spans="1:13" ht="13">
      <c r="A42" s="8" t="s">
        <v>7</v>
      </c>
      <c r="B42" s="104" t="s">
        <v>47</v>
      </c>
      <c r="C42" s="104"/>
      <c r="D42" s="104"/>
      <c r="E42" s="104"/>
      <c r="F42" s="104"/>
      <c r="G42" s="104"/>
      <c r="H42" s="104"/>
      <c r="I42" s="15">
        <v>2.5000000000000001E-2</v>
      </c>
      <c r="J42" s="16">
        <f t="shared" ref="J42:J48" si="0">ROUND(($J$30+$J$37)*I42,2)</f>
        <v>48.63</v>
      </c>
    </row>
    <row r="43" spans="1:13" ht="23.9" customHeight="1">
      <c r="A43" s="8" t="s">
        <v>9</v>
      </c>
      <c r="B43" s="109" t="s">
        <v>48</v>
      </c>
      <c r="C43" s="109"/>
      <c r="D43" s="109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19.45</v>
      </c>
    </row>
    <row r="44" spans="1:13" ht="13">
      <c r="A44" s="8" t="s">
        <v>12</v>
      </c>
      <c r="B44" s="104" t="s">
        <v>51</v>
      </c>
      <c r="C44" s="104"/>
      <c r="D44" s="104"/>
      <c r="E44" s="104"/>
      <c r="F44" s="104"/>
      <c r="G44" s="104"/>
      <c r="H44" s="104"/>
      <c r="I44" s="15">
        <v>1.4999999999999999E-2</v>
      </c>
      <c r="J44" s="16">
        <f t="shared" si="0"/>
        <v>29.18</v>
      </c>
    </row>
    <row r="45" spans="1:13" ht="13">
      <c r="A45" s="8" t="s">
        <v>29</v>
      </c>
      <c r="B45" s="104" t="s">
        <v>52</v>
      </c>
      <c r="C45" s="104"/>
      <c r="D45" s="104"/>
      <c r="E45" s="104"/>
      <c r="F45" s="104"/>
      <c r="G45" s="104"/>
      <c r="H45" s="104"/>
      <c r="I45" s="15">
        <v>0.01</v>
      </c>
      <c r="J45" s="16">
        <f t="shared" si="0"/>
        <v>19.45</v>
      </c>
    </row>
    <row r="46" spans="1:13" ht="13">
      <c r="A46" s="8" t="s">
        <v>53</v>
      </c>
      <c r="B46" s="104" t="s">
        <v>54</v>
      </c>
      <c r="C46" s="104"/>
      <c r="D46" s="104"/>
      <c r="E46" s="104"/>
      <c r="F46" s="104"/>
      <c r="G46" s="104"/>
      <c r="H46" s="104"/>
      <c r="I46" s="15">
        <v>6.0000000000000001E-3</v>
      </c>
      <c r="J46" s="16">
        <f t="shared" si="0"/>
        <v>11.67</v>
      </c>
    </row>
    <row r="47" spans="1:13" ht="13">
      <c r="A47" s="8" t="s">
        <v>55</v>
      </c>
      <c r="B47" s="104" t="s">
        <v>56</v>
      </c>
      <c r="C47" s="104"/>
      <c r="D47" s="104"/>
      <c r="E47" s="104"/>
      <c r="F47" s="104"/>
      <c r="G47" s="104"/>
      <c r="H47" s="104"/>
      <c r="I47" s="15">
        <v>2E-3</v>
      </c>
      <c r="J47" s="16">
        <f t="shared" si="0"/>
        <v>3.89</v>
      </c>
    </row>
    <row r="48" spans="1:13" ht="13">
      <c r="A48" s="8" t="s">
        <v>57</v>
      </c>
      <c r="B48" s="104" t="s">
        <v>58</v>
      </c>
      <c r="C48" s="104"/>
      <c r="D48" s="104"/>
      <c r="E48" s="104"/>
      <c r="F48" s="104"/>
      <c r="G48" s="104"/>
      <c r="H48" s="104"/>
      <c r="I48" s="15">
        <v>0.08</v>
      </c>
      <c r="J48" s="16">
        <f t="shared" si="0"/>
        <v>155.62</v>
      </c>
    </row>
    <row r="49" spans="1:12" ht="13">
      <c r="A49" s="105" t="s">
        <v>40</v>
      </c>
      <c r="B49" s="105"/>
      <c r="C49" s="105"/>
      <c r="D49" s="105"/>
      <c r="E49" s="105"/>
      <c r="F49" s="105"/>
      <c r="G49" s="105"/>
      <c r="H49" s="105"/>
      <c r="I49" s="21">
        <f>SUM(I41:I48)</f>
        <v>0.34800000000000003</v>
      </c>
      <c r="J49" s="14">
        <f>SUM(J41:J48)</f>
        <v>676.94999999999993</v>
      </c>
    </row>
    <row r="50" spans="1:12" ht="13">
      <c r="A50" s="101"/>
      <c r="B50" s="101"/>
      <c r="C50" s="101"/>
      <c r="D50" s="101"/>
      <c r="E50" s="101"/>
      <c r="F50" s="101"/>
      <c r="G50" s="101"/>
      <c r="H50" s="101"/>
      <c r="I50" s="101"/>
      <c r="J50" s="101"/>
    </row>
    <row r="51" spans="1:12" ht="16.149999999999999" customHeight="1">
      <c r="A51" s="112" t="s">
        <v>59</v>
      </c>
      <c r="B51" s="112"/>
      <c r="C51" s="112"/>
      <c r="D51" s="112"/>
      <c r="E51" s="112"/>
      <c r="F51" s="112"/>
      <c r="G51" s="112"/>
      <c r="H51" s="112"/>
      <c r="I51" s="112"/>
      <c r="J51" s="112"/>
      <c r="L51" s="53"/>
    </row>
    <row r="52" spans="1:12" ht="16.149999999999999" customHeight="1">
      <c r="A52" s="69" t="s">
        <v>60</v>
      </c>
      <c r="B52" s="113" t="s">
        <v>61</v>
      </c>
      <c r="C52" s="113"/>
      <c r="D52" s="113"/>
      <c r="E52" s="113"/>
      <c r="F52" s="113"/>
      <c r="G52" s="113"/>
      <c r="H52" s="113"/>
      <c r="I52" s="113"/>
      <c r="J52" s="68" t="s">
        <v>37</v>
      </c>
    </row>
    <row r="53" spans="1:12" ht="13">
      <c r="A53" s="8" t="s">
        <v>5</v>
      </c>
      <c r="B53" s="104" t="s">
        <v>62</v>
      </c>
      <c r="C53" s="104"/>
      <c r="D53" s="104"/>
      <c r="E53" s="104"/>
      <c r="F53" s="104"/>
      <c r="G53" s="104"/>
      <c r="H53" s="104"/>
      <c r="I53" s="104"/>
      <c r="J53" s="16">
        <f>IF(ROUND((I56*I54*I55)-(J24*0.06),2)&lt;0,0,ROUND((I56*I54*I55)-(J24*0.06),2))</f>
        <v>123.85</v>
      </c>
    </row>
    <row r="54" spans="1:12" ht="13">
      <c r="A54" s="8"/>
      <c r="B54" s="121" t="s">
        <v>63</v>
      </c>
      <c r="C54" s="121"/>
      <c r="D54" s="121"/>
      <c r="E54" s="121"/>
      <c r="F54" s="121"/>
      <c r="G54" s="121"/>
      <c r="H54" s="121"/>
      <c r="I54" s="22">
        <v>4.8</v>
      </c>
      <c r="J54" s="51" t="s">
        <v>64</v>
      </c>
    </row>
    <row r="55" spans="1:12" ht="13">
      <c r="A55" s="8"/>
      <c r="B55" s="121" t="s">
        <v>65</v>
      </c>
      <c r="C55" s="121"/>
      <c r="D55" s="121"/>
      <c r="E55" s="121"/>
      <c r="F55" s="121"/>
      <c r="G55" s="121"/>
      <c r="H55" s="121"/>
      <c r="I55" s="23">
        <v>2</v>
      </c>
      <c r="J55" s="51"/>
    </row>
    <row r="56" spans="1:12" ht="13">
      <c r="A56" s="8"/>
      <c r="B56" s="121" t="s">
        <v>66</v>
      </c>
      <c r="C56" s="121"/>
      <c r="D56" s="121"/>
      <c r="E56" s="121"/>
      <c r="F56" s="121"/>
      <c r="G56" s="121"/>
      <c r="H56" s="121"/>
      <c r="I56" s="24">
        <v>22</v>
      </c>
      <c r="J56" s="51"/>
    </row>
    <row r="57" spans="1:12" ht="13">
      <c r="A57" s="8" t="s">
        <v>7</v>
      </c>
      <c r="B57" s="104" t="s">
        <v>67</v>
      </c>
      <c r="C57" s="104"/>
      <c r="D57" s="104"/>
      <c r="E57" s="104"/>
      <c r="F57" s="104"/>
      <c r="G57" s="104"/>
      <c r="H57" s="104"/>
      <c r="I57" s="104"/>
      <c r="J57" s="16">
        <f>ROUND((I58*I59)-(I59*I58*I60),2)</f>
        <v>359.61</v>
      </c>
    </row>
    <row r="58" spans="1:12" ht="13">
      <c r="A58" s="8"/>
      <c r="B58" s="121" t="s">
        <v>68</v>
      </c>
      <c r="C58" s="121"/>
      <c r="D58" s="121"/>
      <c r="E58" s="121"/>
      <c r="F58" s="121"/>
      <c r="G58" s="121"/>
      <c r="H58" s="121"/>
      <c r="I58" s="22">
        <v>20.18</v>
      </c>
      <c r="J58" s="51" t="s">
        <v>64</v>
      </c>
    </row>
    <row r="59" spans="1:12" ht="13">
      <c r="A59" s="25"/>
      <c r="B59" s="121" t="s">
        <v>69</v>
      </c>
      <c r="C59" s="121"/>
      <c r="D59" s="121"/>
      <c r="E59" s="121"/>
      <c r="F59" s="121"/>
      <c r="G59" s="121"/>
      <c r="H59" s="121"/>
      <c r="I59" s="26">
        <v>22</v>
      </c>
      <c r="J59" s="51"/>
    </row>
    <row r="60" spans="1:12" ht="13">
      <c r="A60" s="25"/>
      <c r="B60" s="121" t="s">
        <v>132</v>
      </c>
      <c r="C60" s="121"/>
      <c r="D60" s="121"/>
      <c r="E60" s="121"/>
      <c r="F60" s="121"/>
      <c r="G60" s="121"/>
      <c r="H60" s="121"/>
      <c r="I60" s="52">
        <v>0.19</v>
      </c>
      <c r="J60" s="51"/>
    </row>
    <row r="61" spans="1:12" ht="27.65" customHeight="1">
      <c r="A61" s="8" t="s">
        <v>9</v>
      </c>
      <c r="B61" s="122" t="s">
        <v>70</v>
      </c>
      <c r="C61" s="123"/>
      <c r="D61" s="123"/>
      <c r="E61" s="123"/>
      <c r="F61" s="123"/>
      <c r="G61" s="123"/>
      <c r="H61" s="123"/>
      <c r="I61" s="124"/>
      <c r="J61" s="27">
        <v>0</v>
      </c>
    </row>
    <row r="62" spans="1:12" ht="27.65" customHeight="1">
      <c r="A62" s="8" t="s">
        <v>12</v>
      </c>
      <c r="B62" s="122"/>
      <c r="C62" s="123"/>
      <c r="D62" s="123"/>
      <c r="E62" s="123"/>
      <c r="F62" s="123"/>
      <c r="G62" s="123"/>
      <c r="H62" s="123"/>
      <c r="I62" s="124"/>
      <c r="J62" s="27"/>
      <c r="L62" s="50"/>
    </row>
    <row r="63" spans="1:12" ht="27.65" customHeight="1">
      <c r="A63" s="8" t="s">
        <v>12</v>
      </c>
      <c r="B63" s="122" t="s">
        <v>186</v>
      </c>
      <c r="C63" s="123"/>
      <c r="D63" s="123"/>
      <c r="E63" s="123"/>
      <c r="F63" s="123"/>
      <c r="G63" s="123"/>
      <c r="H63" s="123"/>
      <c r="I63" s="124"/>
      <c r="J63" s="27">
        <v>17.32</v>
      </c>
      <c r="L63" s="50"/>
    </row>
    <row r="64" spans="1:12" ht="13">
      <c r="A64" s="125" t="s">
        <v>32</v>
      </c>
      <c r="B64" s="126"/>
      <c r="C64" s="126"/>
      <c r="D64" s="126"/>
      <c r="E64" s="126"/>
      <c r="F64" s="126"/>
      <c r="G64" s="126"/>
      <c r="H64" s="126"/>
      <c r="I64" s="127"/>
      <c r="J64" s="14">
        <f>SUM(J53:J63)</f>
        <v>500.78000000000003</v>
      </c>
      <c r="L64" s="50"/>
    </row>
    <row r="65" spans="1:12" ht="13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L65" s="50"/>
    </row>
    <row r="66" spans="1:12" ht="16.149999999999999" customHeight="1">
      <c r="A66" s="112" t="s">
        <v>71</v>
      </c>
      <c r="B66" s="112"/>
      <c r="C66" s="112"/>
      <c r="D66" s="112"/>
      <c r="E66" s="112"/>
      <c r="F66" s="112"/>
      <c r="G66" s="112"/>
      <c r="H66" s="112"/>
      <c r="I66" s="112"/>
      <c r="J66" s="112"/>
      <c r="L66" s="50"/>
    </row>
    <row r="67" spans="1:12" ht="16.149999999999999" customHeight="1">
      <c r="A67" s="68">
        <v>2</v>
      </c>
      <c r="B67" s="115" t="s">
        <v>72</v>
      </c>
      <c r="C67" s="115"/>
      <c r="D67" s="115"/>
      <c r="E67" s="115"/>
      <c r="F67" s="115"/>
      <c r="G67" s="115"/>
      <c r="H67" s="115"/>
      <c r="I67" s="115"/>
      <c r="J67" s="68" t="s">
        <v>37</v>
      </c>
      <c r="L67" s="50"/>
    </row>
    <row r="68" spans="1:12" ht="14.65" customHeight="1">
      <c r="A68" s="1" t="s">
        <v>35</v>
      </c>
      <c r="B68" s="1"/>
      <c r="C68" s="109" t="s">
        <v>73</v>
      </c>
      <c r="D68" s="109"/>
      <c r="E68" s="109"/>
      <c r="F68" s="109"/>
      <c r="G68" s="109"/>
      <c r="H68" s="109"/>
      <c r="I68" s="109"/>
      <c r="J68" s="28">
        <f>J37</f>
        <v>198.36</v>
      </c>
      <c r="L68" s="50"/>
    </row>
    <row r="69" spans="1:12" ht="14.65" customHeight="1">
      <c r="A69" s="1" t="s">
        <v>42</v>
      </c>
      <c r="B69" s="1"/>
      <c r="C69" s="109" t="s">
        <v>43</v>
      </c>
      <c r="D69" s="109"/>
      <c r="E69" s="109"/>
      <c r="F69" s="109"/>
      <c r="G69" s="109"/>
      <c r="H69" s="109"/>
      <c r="I69" s="109"/>
      <c r="J69" s="28">
        <f>J49</f>
        <v>676.94999999999993</v>
      </c>
      <c r="L69" s="50"/>
    </row>
    <row r="70" spans="1:12" ht="14.65" customHeight="1">
      <c r="A70" s="1" t="s">
        <v>60</v>
      </c>
      <c r="B70" s="1"/>
      <c r="C70" s="109" t="s">
        <v>61</v>
      </c>
      <c r="D70" s="109"/>
      <c r="E70" s="109"/>
      <c r="F70" s="109"/>
      <c r="G70" s="109"/>
      <c r="H70" s="109"/>
      <c r="I70" s="109"/>
      <c r="J70" s="28">
        <f>J64</f>
        <v>500.78000000000003</v>
      </c>
      <c r="L70" s="50"/>
    </row>
    <row r="71" spans="1:12" ht="14.65" customHeight="1">
      <c r="A71" s="116" t="s">
        <v>40</v>
      </c>
      <c r="B71" s="116"/>
      <c r="C71" s="116"/>
      <c r="D71" s="116"/>
      <c r="E71" s="116"/>
      <c r="F71" s="116"/>
      <c r="G71" s="116"/>
      <c r="H71" s="116"/>
      <c r="I71" s="116"/>
      <c r="J71" s="29">
        <f>SUM(J68+J69+J70)</f>
        <v>1376.09</v>
      </c>
    </row>
    <row r="72" spans="1:12" ht="13">
      <c r="A72" s="101"/>
      <c r="B72" s="101"/>
      <c r="C72" s="101"/>
      <c r="D72" s="101"/>
      <c r="E72" s="101"/>
      <c r="F72" s="101"/>
      <c r="G72" s="101"/>
      <c r="H72" s="101"/>
      <c r="I72" s="101"/>
      <c r="J72" s="101"/>
    </row>
    <row r="73" spans="1:12" ht="16.149999999999999" customHeight="1">
      <c r="A73" s="112" t="s">
        <v>74</v>
      </c>
      <c r="B73" s="112"/>
      <c r="C73" s="112"/>
      <c r="D73" s="112"/>
      <c r="E73" s="112"/>
      <c r="F73" s="112"/>
      <c r="G73" s="112"/>
      <c r="H73" s="112"/>
      <c r="I73" s="112"/>
      <c r="J73" s="112"/>
    </row>
    <row r="74" spans="1:12" ht="16.149999999999999" customHeight="1">
      <c r="A74" s="69">
        <v>3</v>
      </c>
      <c r="B74" s="115" t="s">
        <v>75</v>
      </c>
      <c r="C74" s="115"/>
      <c r="D74" s="115"/>
      <c r="E74" s="115"/>
      <c r="F74" s="115"/>
      <c r="G74" s="115"/>
      <c r="H74" s="115"/>
      <c r="I74" s="115"/>
      <c r="J74" s="69" t="s">
        <v>76</v>
      </c>
    </row>
    <row r="75" spans="1:12" ht="46.5" customHeight="1">
      <c r="A75" s="8" t="s">
        <v>5</v>
      </c>
      <c r="B75" s="109" t="s">
        <v>135</v>
      </c>
      <c r="C75" s="109"/>
      <c r="D75" s="109"/>
      <c r="E75" s="109"/>
      <c r="F75" s="109"/>
      <c r="G75" s="109"/>
      <c r="H75" s="109"/>
      <c r="I75" s="109"/>
      <c r="J75" s="16">
        <f>ROUND(((J30)+(J35)+(J30/12)+(J36))/12*0.01,2)</f>
        <v>1.74</v>
      </c>
      <c r="L75" s="50"/>
    </row>
    <row r="76" spans="1:12" ht="14.65" customHeight="1">
      <c r="A76" s="8" t="s">
        <v>7</v>
      </c>
      <c r="B76" s="109" t="s">
        <v>77</v>
      </c>
      <c r="C76" s="109"/>
      <c r="D76" s="109"/>
      <c r="E76" s="109"/>
      <c r="F76" s="109"/>
      <c r="G76" s="109"/>
      <c r="H76" s="109"/>
      <c r="I76" s="109"/>
      <c r="J76" s="16">
        <f>ROUND($J$75*I48,2)</f>
        <v>0.14000000000000001</v>
      </c>
    </row>
    <row r="77" spans="1:12" ht="36.25" customHeight="1">
      <c r="A77" s="8" t="s">
        <v>9</v>
      </c>
      <c r="B77" s="109" t="s">
        <v>136</v>
      </c>
      <c r="C77" s="109"/>
      <c r="D77" s="109"/>
      <c r="E77" s="109"/>
      <c r="F77" s="109"/>
      <c r="G77" s="109"/>
      <c r="H77" s="109"/>
      <c r="I77" s="30">
        <v>2.3999999999999998E-3</v>
      </c>
      <c r="J77" s="16">
        <f>ROUND($J$30*I77,2)</f>
        <v>4.1900000000000004</v>
      </c>
    </row>
    <row r="78" spans="1:12" ht="34.5" customHeight="1">
      <c r="A78" s="8" t="s">
        <v>12</v>
      </c>
      <c r="B78" s="109" t="s">
        <v>138</v>
      </c>
      <c r="C78" s="109"/>
      <c r="D78" s="109"/>
      <c r="E78" s="109"/>
      <c r="F78" s="109"/>
      <c r="G78" s="109"/>
      <c r="H78" s="109"/>
      <c r="I78" s="109"/>
      <c r="J78" s="16">
        <f>J30/30*7/12*0.05</f>
        <v>1.6983983333333335</v>
      </c>
    </row>
    <row r="79" spans="1:12" ht="14.65" customHeight="1">
      <c r="A79" s="8" t="s">
        <v>29</v>
      </c>
      <c r="B79" s="109" t="s">
        <v>78</v>
      </c>
      <c r="C79" s="109"/>
      <c r="D79" s="109"/>
      <c r="E79" s="109"/>
      <c r="F79" s="109"/>
      <c r="G79" s="109"/>
      <c r="H79" s="109"/>
      <c r="I79" s="109"/>
      <c r="J79" s="16">
        <f>ROUND($I$49*J78,2)</f>
        <v>0.59</v>
      </c>
    </row>
    <row r="80" spans="1:12" ht="36.25" customHeight="1">
      <c r="A80" s="8" t="s">
        <v>53</v>
      </c>
      <c r="B80" s="109" t="s">
        <v>137</v>
      </c>
      <c r="C80" s="109"/>
      <c r="D80" s="109"/>
      <c r="E80" s="109"/>
      <c r="F80" s="109"/>
      <c r="G80" s="109"/>
      <c r="H80" s="109"/>
      <c r="I80" s="30">
        <v>3.7600000000000001E-2</v>
      </c>
      <c r="J80" s="16">
        <f>ROUND($J$30*I80,2)</f>
        <v>65.680000000000007</v>
      </c>
    </row>
    <row r="81" spans="1:10" ht="13">
      <c r="A81" s="105" t="s">
        <v>40</v>
      </c>
      <c r="B81" s="105"/>
      <c r="C81" s="105"/>
      <c r="D81" s="105"/>
      <c r="E81" s="105"/>
      <c r="F81" s="105"/>
      <c r="G81" s="105"/>
      <c r="H81" s="105"/>
      <c r="I81" s="105"/>
      <c r="J81" s="14">
        <f>SUM(J75:J80)</f>
        <v>74.038398333333333</v>
      </c>
    </row>
    <row r="82" spans="1:10" ht="13">
      <c r="A82" s="101"/>
      <c r="B82" s="101"/>
      <c r="C82" s="101"/>
      <c r="D82" s="101"/>
      <c r="E82" s="101"/>
      <c r="F82" s="101"/>
      <c r="G82" s="101"/>
      <c r="H82" s="101"/>
      <c r="I82" s="101"/>
      <c r="J82" s="101"/>
    </row>
    <row r="83" spans="1:10" ht="16.149999999999999" customHeight="1">
      <c r="A83" s="112" t="s">
        <v>79</v>
      </c>
      <c r="B83" s="112"/>
      <c r="C83" s="112"/>
      <c r="D83" s="112"/>
      <c r="E83" s="112"/>
      <c r="F83" s="112"/>
      <c r="G83" s="112"/>
      <c r="H83" s="112"/>
      <c r="I83" s="112"/>
      <c r="J83" s="112"/>
    </row>
    <row r="84" spans="1:10" ht="15" customHeight="1">
      <c r="A84" s="119" t="s">
        <v>80</v>
      </c>
      <c r="B84" s="119"/>
      <c r="C84" s="119"/>
      <c r="D84" s="119"/>
      <c r="E84" s="119"/>
      <c r="F84" s="119"/>
      <c r="G84" s="119"/>
      <c r="H84" s="119"/>
      <c r="I84" s="119"/>
      <c r="J84" s="31">
        <f>J87+J30+J35+J36</f>
        <v>2103.8140000000003</v>
      </c>
    </row>
    <row r="85" spans="1:10" ht="14.65" customHeight="1">
      <c r="A85" s="120"/>
      <c r="B85" s="120"/>
      <c r="C85" s="120"/>
      <c r="D85" s="120"/>
      <c r="E85" s="120"/>
      <c r="F85" s="120"/>
      <c r="G85" s="120"/>
      <c r="H85" s="120"/>
      <c r="I85" s="120"/>
      <c r="J85" s="120"/>
    </row>
    <row r="86" spans="1:10" ht="14">
      <c r="A86" s="32" t="s">
        <v>81</v>
      </c>
      <c r="B86" s="113" t="s">
        <v>82</v>
      </c>
      <c r="C86" s="113"/>
      <c r="D86" s="113"/>
      <c r="E86" s="113"/>
      <c r="F86" s="113"/>
      <c r="G86" s="113"/>
      <c r="H86" s="113"/>
      <c r="I86" s="113"/>
      <c r="J86" s="32" t="s">
        <v>37</v>
      </c>
    </row>
    <row r="87" spans="1:10" ht="12.75" customHeight="1">
      <c r="A87" s="12" t="s">
        <v>5</v>
      </c>
      <c r="B87" s="109" t="s">
        <v>83</v>
      </c>
      <c r="C87" s="109"/>
      <c r="D87" s="109"/>
      <c r="E87" s="109"/>
      <c r="F87" s="109"/>
      <c r="G87" s="109"/>
      <c r="H87" s="109"/>
      <c r="I87" s="33">
        <f>12.1%-I36</f>
        <v>9.0749999999999997E-2</v>
      </c>
      <c r="J87" s="16">
        <f>ROUND(($J$30*I87),2)</f>
        <v>158.53</v>
      </c>
    </row>
    <row r="88" spans="1:10" ht="13">
      <c r="A88" s="12" t="s">
        <v>7</v>
      </c>
      <c r="B88" s="104" t="s">
        <v>131</v>
      </c>
      <c r="C88" s="104"/>
      <c r="D88" s="104"/>
      <c r="E88" s="104"/>
      <c r="F88" s="104"/>
      <c r="G88" s="104"/>
      <c r="H88" s="104"/>
      <c r="I88" s="104"/>
      <c r="J88" s="34">
        <f>J84/30*0.1/12</f>
        <v>0.58439277777777787</v>
      </c>
    </row>
    <row r="89" spans="1:10" ht="13">
      <c r="A89" s="12" t="s">
        <v>9</v>
      </c>
      <c r="B89" s="104" t="s">
        <v>84</v>
      </c>
      <c r="C89" s="104"/>
      <c r="D89" s="104"/>
      <c r="E89" s="104"/>
      <c r="F89" s="104"/>
      <c r="G89" s="104"/>
      <c r="H89" s="104"/>
      <c r="I89" s="104"/>
      <c r="J89" s="34">
        <f>J84/30*5/12*1.5%</f>
        <v>0.43829458333333343</v>
      </c>
    </row>
    <row r="90" spans="1:10" ht="13">
      <c r="A90" s="12" t="s">
        <v>12</v>
      </c>
      <c r="B90" s="104" t="s">
        <v>85</v>
      </c>
      <c r="C90" s="104"/>
      <c r="D90" s="104"/>
      <c r="E90" s="104"/>
      <c r="F90" s="104"/>
      <c r="G90" s="104"/>
      <c r="H90" s="104"/>
      <c r="I90" s="104"/>
      <c r="J90" s="13">
        <f>J84/30*15/12*0.78%</f>
        <v>0.6837395500000002</v>
      </c>
    </row>
    <row r="91" spans="1:10" ht="13">
      <c r="A91" s="12" t="s">
        <v>29</v>
      </c>
      <c r="B91" s="104" t="s">
        <v>86</v>
      </c>
      <c r="C91" s="104"/>
      <c r="D91" s="104"/>
      <c r="E91" s="104"/>
      <c r="F91" s="104"/>
      <c r="G91" s="104"/>
      <c r="H91" s="104"/>
      <c r="I91" s="104"/>
      <c r="J91" s="16">
        <f>(J30+J36)/12*4/12*1%</f>
        <v>0.49993444444444446</v>
      </c>
    </row>
    <row r="92" spans="1:10" ht="13">
      <c r="A92" s="35" t="s">
        <v>53</v>
      </c>
      <c r="B92" s="118" t="s">
        <v>87</v>
      </c>
      <c r="C92" s="118"/>
      <c r="D92" s="118"/>
      <c r="E92" s="118"/>
      <c r="F92" s="118"/>
      <c r="G92" s="118"/>
      <c r="H92" s="118"/>
      <c r="I92" s="118"/>
      <c r="J92" s="13">
        <f>J84/30*0.15/12</f>
        <v>0.87658916666666675</v>
      </c>
    </row>
    <row r="93" spans="1:10" ht="13">
      <c r="A93" s="105" t="s">
        <v>40</v>
      </c>
      <c r="B93" s="105"/>
      <c r="C93" s="105"/>
      <c r="D93" s="105"/>
      <c r="E93" s="105"/>
      <c r="F93" s="105"/>
      <c r="G93" s="105"/>
      <c r="H93" s="105"/>
      <c r="I93" s="105"/>
      <c r="J93" s="36">
        <f>SUM(J87:J92)</f>
        <v>161.61295052222223</v>
      </c>
    </row>
    <row r="94" spans="1:10" ht="14.65" customHeight="1">
      <c r="A94" s="12"/>
      <c r="B94" s="104"/>
      <c r="C94" s="104"/>
      <c r="D94" s="104"/>
      <c r="E94" s="104"/>
      <c r="F94" s="104"/>
      <c r="G94" s="104"/>
      <c r="H94" s="104"/>
      <c r="I94" s="104"/>
      <c r="J94" s="13"/>
    </row>
    <row r="95" spans="1:10" ht="13">
      <c r="A95" s="105" t="s">
        <v>40</v>
      </c>
      <c r="B95" s="105"/>
      <c r="C95" s="105"/>
      <c r="D95" s="105"/>
      <c r="E95" s="105"/>
      <c r="F95" s="105"/>
      <c r="G95" s="105"/>
      <c r="H95" s="105"/>
      <c r="I95" s="105"/>
      <c r="J95" s="14">
        <f>SUM(J93:J94)</f>
        <v>161.61295052222223</v>
      </c>
    </row>
    <row r="96" spans="1:10" ht="16.149999999999999" customHeight="1">
      <c r="A96" s="112" t="s">
        <v>88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14">
      <c r="A97" s="69" t="s">
        <v>89</v>
      </c>
      <c r="B97" s="113" t="s">
        <v>90</v>
      </c>
      <c r="C97" s="113"/>
      <c r="D97" s="113"/>
      <c r="E97" s="113"/>
      <c r="F97" s="113"/>
      <c r="G97" s="113"/>
      <c r="H97" s="113"/>
      <c r="I97" s="113"/>
      <c r="J97" s="37" t="s">
        <v>37</v>
      </c>
    </row>
    <row r="98" spans="1:10" ht="13">
      <c r="A98" s="8" t="s">
        <v>5</v>
      </c>
      <c r="B98" s="104" t="s">
        <v>91</v>
      </c>
      <c r="C98" s="104"/>
      <c r="D98" s="104"/>
      <c r="E98" s="104"/>
      <c r="F98" s="104"/>
      <c r="G98" s="104"/>
      <c r="H98" s="104"/>
      <c r="I98" s="104"/>
      <c r="J98" s="16">
        <v>0</v>
      </c>
    </row>
    <row r="99" spans="1:10" ht="13">
      <c r="A99" s="117" t="s">
        <v>40</v>
      </c>
      <c r="B99" s="117"/>
      <c r="C99" s="117"/>
      <c r="D99" s="117"/>
      <c r="E99" s="117"/>
      <c r="F99" s="117"/>
      <c r="G99" s="117"/>
      <c r="H99" s="117"/>
      <c r="I99" s="117"/>
      <c r="J99" s="16">
        <v>0</v>
      </c>
    </row>
    <row r="100" spans="1:10" ht="13">
      <c r="A100" s="12"/>
      <c r="B100" s="104"/>
      <c r="C100" s="104"/>
      <c r="D100" s="104"/>
      <c r="E100" s="104"/>
      <c r="F100" s="104"/>
      <c r="G100" s="104"/>
      <c r="H100" s="104"/>
      <c r="I100" s="104"/>
      <c r="J100" s="13"/>
    </row>
    <row r="101" spans="1:10" ht="13">
      <c r="A101" s="105" t="s">
        <v>40</v>
      </c>
      <c r="B101" s="105"/>
      <c r="C101" s="105"/>
      <c r="D101" s="105"/>
      <c r="E101" s="105"/>
      <c r="F101" s="105"/>
      <c r="G101" s="105"/>
      <c r="H101" s="105"/>
      <c r="I101" s="105"/>
      <c r="J101" s="14">
        <f>SUM(J99:J100)</f>
        <v>0</v>
      </c>
    </row>
    <row r="102" spans="1:10" ht="13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</row>
    <row r="103" spans="1:10" ht="16.149999999999999" customHeight="1">
      <c r="A103" s="112" t="s">
        <v>92</v>
      </c>
      <c r="B103" s="112"/>
      <c r="C103" s="112"/>
      <c r="D103" s="112"/>
      <c r="E103" s="112"/>
      <c r="F103" s="112"/>
      <c r="G103" s="112"/>
      <c r="H103" s="112"/>
      <c r="I103" s="112"/>
      <c r="J103" s="112"/>
    </row>
    <row r="104" spans="1:10" ht="16.149999999999999" customHeight="1">
      <c r="A104" s="68">
        <v>4</v>
      </c>
      <c r="B104" s="115" t="s">
        <v>93</v>
      </c>
      <c r="C104" s="115"/>
      <c r="D104" s="115"/>
      <c r="E104" s="115"/>
      <c r="F104" s="115"/>
      <c r="G104" s="115"/>
      <c r="H104" s="115"/>
      <c r="I104" s="115"/>
      <c r="J104" s="37" t="s">
        <v>37</v>
      </c>
    </row>
    <row r="105" spans="1:10" ht="14.65" customHeight="1">
      <c r="A105" s="1" t="s">
        <v>81</v>
      </c>
      <c r="B105" s="109" t="s">
        <v>94</v>
      </c>
      <c r="C105" s="109"/>
      <c r="D105" s="109"/>
      <c r="E105" s="109"/>
      <c r="F105" s="109"/>
      <c r="G105" s="109"/>
      <c r="H105" s="109"/>
      <c r="I105" s="109"/>
      <c r="J105" s="16">
        <f>J95</f>
        <v>161.61295052222223</v>
      </c>
    </row>
    <row r="106" spans="1:10" ht="14.65" customHeight="1">
      <c r="A106" s="1" t="s">
        <v>95</v>
      </c>
      <c r="B106" s="109" t="s">
        <v>96</v>
      </c>
      <c r="C106" s="109"/>
      <c r="D106" s="109"/>
      <c r="E106" s="109"/>
      <c r="F106" s="109"/>
      <c r="G106" s="109"/>
      <c r="H106" s="109"/>
      <c r="I106" s="109"/>
      <c r="J106" s="16">
        <f>J101</f>
        <v>0</v>
      </c>
    </row>
    <row r="107" spans="1:10" ht="14.65" customHeight="1">
      <c r="A107" s="116" t="s">
        <v>40</v>
      </c>
      <c r="B107" s="116"/>
      <c r="C107" s="116"/>
      <c r="D107" s="116"/>
      <c r="E107" s="116"/>
      <c r="F107" s="116"/>
      <c r="G107" s="116"/>
      <c r="H107" s="116"/>
      <c r="I107" s="116"/>
      <c r="J107" s="14">
        <f>SUM(J105+J106)</f>
        <v>161.61295052222223</v>
      </c>
    </row>
    <row r="108" spans="1:10" ht="13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</row>
    <row r="109" spans="1:10" ht="16.149999999999999" customHeight="1">
      <c r="A109" s="112" t="s">
        <v>97</v>
      </c>
      <c r="B109" s="112"/>
      <c r="C109" s="112"/>
      <c r="D109" s="112"/>
      <c r="E109" s="112"/>
      <c r="F109" s="112"/>
      <c r="G109" s="112"/>
      <c r="H109" s="112"/>
      <c r="I109" s="112"/>
      <c r="J109" s="112"/>
    </row>
    <row r="110" spans="1:10" ht="16.149999999999999" customHeight="1">
      <c r="A110" s="69">
        <v>5</v>
      </c>
      <c r="B110" s="113" t="s">
        <v>98</v>
      </c>
      <c r="C110" s="113"/>
      <c r="D110" s="113"/>
      <c r="E110" s="113"/>
      <c r="F110" s="113"/>
      <c r="G110" s="113"/>
      <c r="H110" s="113"/>
      <c r="I110" s="113"/>
      <c r="J110" s="69" t="s">
        <v>37</v>
      </c>
    </row>
    <row r="111" spans="1:10" ht="13">
      <c r="A111" s="8" t="s">
        <v>5</v>
      </c>
      <c r="B111" s="104" t="s">
        <v>185</v>
      </c>
      <c r="C111" s="104"/>
      <c r="D111" s="104"/>
      <c r="E111" s="104"/>
      <c r="F111" s="104"/>
      <c r="G111" s="104"/>
      <c r="H111" s="104"/>
      <c r="I111" s="104"/>
      <c r="J111" s="16">
        <f>Descritivo!E48</f>
        <v>91.369065656565652</v>
      </c>
    </row>
    <row r="112" spans="1:10" ht="13">
      <c r="A112" s="8" t="s">
        <v>7</v>
      </c>
      <c r="B112" s="104" t="s">
        <v>99</v>
      </c>
      <c r="C112" s="104"/>
      <c r="D112" s="104"/>
      <c r="E112" s="104"/>
      <c r="F112" s="104"/>
      <c r="G112" s="104"/>
      <c r="H112" s="104"/>
      <c r="I112" s="104"/>
      <c r="J112" s="27">
        <f>Descritivo!D93</f>
        <v>116.16919191919192</v>
      </c>
    </row>
    <row r="113" spans="1:10" ht="13">
      <c r="A113" s="8" t="s">
        <v>9</v>
      </c>
      <c r="B113" s="104" t="s">
        <v>139</v>
      </c>
      <c r="C113" s="104"/>
      <c r="D113" s="104"/>
      <c r="E113" s="104"/>
      <c r="F113" s="104"/>
      <c r="G113" s="104"/>
      <c r="H113" s="104"/>
      <c r="I113" s="104"/>
      <c r="J113" s="27">
        <f>Descritivo!C101</f>
        <v>36.363636363636367</v>
      </c>
    </row>
    <row r="114" spans="1:10" ht="13">
      <c r="A114" s="8" t="s">
        <v>12</v>
      </c>
      <c r="B114" s="104" t="s">
        <v>100</v>
      </c>
      <c r="C114" s="104"/>
      <c r="D114" s="104"/>
      <c r="E114" s="104"/>
      <c r="F114" s="104"/>
      <c r="G114" s="104"/>
      <c r="H114" s="104"/>
      <c r="I114" s="104"/>
      <c r="J114" s="27"/>
    </row>
    <row r="115" spans="1:10" ht="13">
      <c r="A115" s="105" t="s">
        <v>32</v>
      </c>
      <c r="B115" s="105"/>
      <c r="C115" s="105"/>
      <c r="D115" s="105"/>
      <c r="E115" s="105"/>
      <c r="F115" s="105"/>
      <c r="G115" s="105"/>
      <c r="H115" s="105"/>
      <c r="I115" s="105"/>
      <c r="J115" s="38">
        <f>SUM(J111:J114)</f>
        <v>243.90189393939394</v>
      </c>
    </row>
    <row r="116" spans="1:10" ht="13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</row>
    <row r="117" spans="1:10" ht="16.149999999999999" customHeight="1">
      <c r="A117" s="112" t="s">
        <v>101</v>
      </c>
      <c r="B117" s="112"/>
      <c r="C117" s="112"/>
      <c r="D117" s="112"/>
      <c r="E117" s="112"/>
      <c r="F117" s="112"/>
      <c r="G117" s="112"/>
      <c r="H117" s="112"/>
      <c r="I117" s="112"/>
      <c r="J117" s="112"/>
    </row>
    <row r="118" spans="1:10" ht="28">
      <c r="A118" s="69">
        <v>6</v>
      </c>
      <c r="B118" s="113" t="s">
        <v>102</v>
      </c>
      <c r="C118" s="113"/>
      <c r="D118" s="113"/>
      <c r="E118" s="113"/>
      <c r="F118" s="113"/>
      <c r="G118" s="113"/>
      <c r="H118" s="113"/>
      <c r="I118" s="68" t="s">
        <v>44</v>
      </c>
      <c r="J118" s="39" t="s">
        <v>103</v>
      </c>
    </row>
    <row r="119" spans="1:10" ht="12.75" customHeight="1">
      <c r="A119" s="111" t="s">
        <v>104</v>
      </c>
      <c r="B119" s="111"/>
      <c r="C119" s="111"/>
      <c r="D119" s="111"/>
      <c r="E119" s="111"/>
      <c r="F119" s="111"/>
      <c r="G119" s="111"/>
      <c r="H119" s="111"/>
      <c r="I119" s="40" t="s">
        <v>64</v>
      </c>
      <c r="J119" s="41">
        <f>SUM(J30+J71+J81+J107+J115)</f>
        <v>3602.5672427949494</v>
      </c>
    </row>
    <row r="120" spans="1:10" ht="15.5">
      <c r="A120" s="42" t="s">
        <v>5</v>
      </c>
      <c r="B120" s="110" t="s">
        <v>105</v>
      </c>
      <c r="C120" s="110"/>
      <c r="D120" s="110"/>
      <c r="E120" s="110"/>
      <c r="F120" s="110"/>
      <c r="G120" s="110"/>
      <c r="H120" s="110"/>
      <c r="I120" s="15">
        <v>0.1091</v>
      </c>
      <c r="J120" s="16">
        <f>ROUND(I120*J119,2)</f>
        <v>393.04</v>
      </c>
    </row>
    <row r="121" spans="1:10" ht="12.75" customHeight="1">
      <c r="A121" s="111" t="s">
        <v>106</v>
      </c>
      <c r="B121" s="111"/>
      <c r="C121" s="111"/>
      <c r="D121" s="111"/>
      <c r="E121" s="111"/>
      <c r="F121" s="111"/>
      <c r="G121" s="111"/>
      <c r="H121" s="111"/>
      <c r="I121" s="43" t="s">
        <v>64</v>
      </c>
      <c r="J121" s="41">
        <f>SUM(J30+J71+J81+J107+J115+J120)</f>
        <v>3995.6072427949493</v>
      </c>
    </row>
    <row r="122" spans="1:10" ht="15.5">
      <c r="A122" s="42" t="s">
        <v>7</v>
      </c>
      <c r="B122" s="110" t="s">
        <v>107</v>
      </c>
      <c r="C122" s="110"/>
      <c r="D122" s="110"/>
      <c r="E122" s="110"/>
      <c r="F122" s="110"/>
      <c r="G122" s="110"/>
      <c r="H122" s="110"/>
      <c r="I122" s="20">
        <v>0.15109700000000001</v>
      </c>
      <c r="J122" s="16">
        <f>ROUND(I122*J121,2)</f>
        <v>603.72</v>
      </c>
    </row>
    <row r="123" spans="1:10" ht="12.75" customHeight="1">
      <c r="A123" s="111" t="s">
        <v>108</v>
      </c>
      <c r="B123" s="111"/>
      <c r="C123" s="111"/>
      <c r="D123" s="111"/>
      <c r="E123" s="111"/>
      <c r="F123" s="111"/>
      <c r="G123" s="111"/>
      <c r="H123" s="111"/>
      <c r="I123" s="43" t="s">
        <v>64</v>
      </c>
      <c r="J123" s="41">
        <f>SUM(J30+J71+J81+J107+J115+J120+J122)</f>
        <v>4599.3272427949496</v>
      </c>
    </row>
    <row r="124" spans="1:10" ht="15.5">
      <c r="A124" s="42" t="s">
        <v>9</v>
      </c>
      <c r="B124" s="110" t="s">
        <v>109</v>
      </c>
      <c r="C124" s="110"/>
      <c r="D124" s="110"/>
      <c r="E124" s="110"/>
      <c r="F124" s="110"/>
      <c r="G124" s="110"/>
      <c r="H124" s="110"/>
      <c r="I124" s="9" t="s">
        <v>64</v>
      </c>
      <c r="J124" s="51" t="s">
        <v>64</v>
      </c>
    </row>
    <row r="125" spans="1:10" ht="13">
      <c r="A125" s="8"/>
      <c r="B125" s="104" t="s">
        <v>110</v>
      </c>
      <c r="C125" s="104"/>
      <c r="D125" s="104"/>
      <c r="E125" s="104"/>
      <c r="F125" s="104"/>
      <c r="G125" s="104"/>
      <c r="H125" s="104"/>
      <c r="I125" s="9" t="s">
        <v>64</v>
      </c>
      <c r="J125" s="51" t="s">
        <v>64</v>
      </c>
    </row>
    <row r="126" spans="1:10" ht="13">
      <c r="A126" s="8"/>
      <c r="B126" s="104" t="s">
        <v>111</v>
      </c>
      <c r="C126" s="104"/>
      <c r="D126" s="104"/>
      <c r="E126" s="104"/>
      <c r="F126" s="104"/>
      <c r="G126" s="104"/>
      <c r="H126" s="104"/>
      <c r="I126" s="44">
        <v>0.03</v>
      </c>
      <c r="J126" s="16">
        <f>ROUND(($J$123/(1-$I$135))*I126,2)</f>
        <v>151.05000000000001</v>
      </c>
    </row>
    <row r="127" spans="1:10" ht="13">
      <c r="A127" s="8"/>
      <c r="B127" s="104" t="s">
        <v>112</v>
      </c>
      <c r="C127" s="104"/>
      <c r="D127" s="104"/>
      <c r="E127" s="104"/>
      <c r="F127" s="104"/>
      <c r="G127" s="104"/>
      <c r="H127" s="104"/>
      <c r="I127" s="44">
        <v>6.4999999999999997E-3</v>
      </c>
      <c r="J127" s="16">
        <f>ROUND(($J$123/(1-$I$135))*I127,2)</f>
        <v>32.729999999999997</v>
      </c>
    </row>
    <row r="128" spans="1:10" ht="27.65" customHeight="1">
      <c r="A128" s="8"/>
      <c r="B128" s="109" t="s">
        <v>113</v>
      </c>
      <c r="C128" s="109"/>
      <c r="D128" s="109"/>
      <c r="E128" s="109"/>
      <c r="F128" s="109"/>
      <c r="G128" s="109"/>
      <c r="H128" s="109"/>
      <c r="I128" s="45" t="s">
        <v>64</v>
      </c>
      <c r="J128" s="51" t="s">
        <v>64</v>
      </c>
    </row>
    <row r="129" spans="1:10" ht="27.65" customHeight="1">
      <c r="A129" s="8"/>
      <c r="B129" s="109" t="s">
        <v>114</v>
      </c>
      <c r="C129" s="109"/>
      <c r="D129" s="109"/>
      <c r="E129" s="109"/>
      <c r="F129" s="109"/>
      <c r="G129" s="109"/>
      <c r="H129" s="109"/>
      <c r="I129" s="45" t="s">
        <v>64</v>
      </c>
      <c r="J129" s="51" t="s">
        <v>64</v>
      </c>
    </row>
    <row r="130" spans="1:10" ht="13">
      <c r="A130" s="8"/>
      <c r="B130" s="104" t="s">
        <v>115</v>
      </c>
      <c r="C130" s="104"/>
      <c r="D130" s="104"/>
      <c r="E130" s="104"/>
      <c r="F130" s="104"/>
      <c r="G130" s="104"/>
      <c r="H130" s="104"/>
      <c r="I130" s="45" t="s">
        <v>64</v>
      </c>
      <c r="J130" s="51" t="s">
        <v>64</v>
      </c>
    </row>
    <row r="131" spans="1:10" ht="13">
      <c r="A131" s="8"/>
      <c r="B131" s="104" t="s">
        <v>116</v>
      </c>
      <c r="C131" s="104"/>
      <c r="D131" s="104"/>
      <c r="E131" s="104"/>
      <c r="F131" s="104"/>
      <c r="G131" s="104"/>
      <c r="H131" s="104"/>
      <c r="I131" s="45" t="s">
        <v>64</v>
      </c>
      <c r="J131" s="51" t="s">
        <v>64</v>
      </c>
    </row>
    <row r="132" spans="1:10" ht="13">
      <c r="A132" s="8"/>
      <c r="B132" s="104" t="s">
        <v>134</v>
      </c>
      <c r="C132" s="104"/>
      <c r="D132" s="104"/>
      <c r="E132" s="104"/>
      <c r="F132" s="104"/>
      <c r="G132" s="104"/>
      <c r="H132" s="104"/>
      <c r="I132" s="44">
        <v>0.05</v>
      </c>
      <c r="J132" s="16">
        <f>ROUND(($J$123/(1-$I$135))*I132,2)</f>
        <v>251.74</v>
      </c>
    </row>
    <row r="133" spans="1:10" ht="13">
      <c r="A133" s="105" t="s">
        <v>40</v>
      </c>
      <c r="B133" s="105"/>
      <c r="C133" s="105"/>
      <c r="D133" s="105"/>
      <c r="E133" s="105"/>
      <c r="F133" s="105"/>
      <c r="G133" s="105"/>
      <c r="H133" s="105"/>
      <c r="I133" s="105"/>
      <c r="J133" s="14">
        <f>SUM(J120+J122+J126+J127+J132)</f>
        <v>1432.28</v>
      </c>
    </row>
    <row r="134" spans="1:10" ht="13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</row>
    <row r="135" spans="1:10" ht="14.65" customHeight="1">
      <c r="A135" s="106" t="s">
        <v>117</v>
      </c>
      <c r="B135" s="106"/>
      <c r="C135" s="106"/>
      <c r="D135" s="106"/>
      <c r="E135" s="106"/>
      <c r="F135" s="106"/>
      <c r="G135" s="106"/>
      <c r="H135" s="106"/>
      <c r="I135" s="46">
        <f>SUM(I126:I132)</f>
        <v>8.6499999999999994E-2</v>
      </c>
      <c r="J135" s="41">
        <f>SUM(J126:J132)</f>
        <v>435.52</v>
      </c>
    </row>
    <row r="136" spans="1:10">
      <c r="A136" s="107" t="s">
        <v>118</v>
      </c>
      <c r="B136" s="107"/>
      <c r="C136" s="107"/>
      <c r="D136" s="108" t="s">
        <v>119</v>
      </c>
      <c r="E136" s="108"/>
      <c r="F136" s="108"/>
      <c r="G136" s="108"/>
      <c r="H136" s="108"/>
      <c r="I136" s="108"/>
      <c r="J136" s="108"/>
    </row>
    <row r="137" spans="1:10">
      <c r="A137" s="107"/>
      <c r="B137" s="107"/>
      <c r="C137" s="107"/>
      <c r="D137" s="108" t="s">
        <v>120</v>
      </c>
      <c r="E137" s="108"/>
      <c r="F137" s="108"/>
      <c r="G137" s="108"/>
      <c r="H137" s="108"/>
      <c r="I137" s="108"/>
      <c r="J137" s="108"/>
    </row>
    <row r="138" spans="1:10">
      <c r="A138" s="107"/>
      <c r="B138" s="107"/>
      <c r="C138" s="107"/>
      <c r="D138" s="108" t="s">
        <v>121</v>
      </c>
      <c r="E138" s="108"/>
      <c r="F138" s="108"/>
      <c r="G138" s="108"/>
      <c r="H138" s="108"/>
      <c r="I138" s="108"/>
      <c r="J138" s="108"/>
    </row>
    <row r="139" spans="1:10" ht="13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</row>
    <row r="140" spans="1:10" ht="46" customHeight="1">
      <c r="A140" s="102" t="s">
        <v>122</v>
      </c>
      <c r="B140" s="102"/>
      <c r="C140" s="102"/>
      <c r="D140" s="102"/>
      <c r="E140" s="102"/>
      <c r="F140" s="102"/>
      <c r="G140" s="102"/>
      <c r="H140" s="102"/>
      <c r="I140" s="102"/>
      <c r="J140" s="102"/>
    </row>
    <row r="141" spans="1:10" ht="14.65" customHeight="1">
      <c r="A141" s="103" t="s">
        <v>123</v>
      </c>
      <c r="B141" s="103"/>
      <c r="C141" s="103"/>
      <c r="D141" s="103"/>
      <c r="E141" s="103"/>
      <c r="F141" s="103"/>
      <c r="G141" s="103"/>
      <c r="H141" s="103"/>
      <c r="I141" s="103"/>
      <c r="J141" s="47" t="s">
        <v>37</v>
      </c>
    </row>
    <row r="142" spans="1:10" ht="14.65" customHeight="1">
      <c r="A142" s="48" t="s">
        <v>5</v>
      </c>
      <c r="B142" s="99" t="s">
        <v>124</v>
      </c>
      <c r="C142" s="99"/>
      <c r="D142" s="99"/>
      <c r="E142" s="99"/>
      <c r="F142" s="99"/>
      <c r="G142" s="99"/>
      <c r="H142" s="99"/>
      <c r="I142" s="99"/>
      <c r="J142" s="27">
        <f>J30</f>
        <v>1746.924</v>
      </c>
    </row>
    <row r="143" spans="1:10" ht="14.65" customHeight="1">
      <c r="A143" s="48" t="s">
        <v>7</v>
      </c>
      <c r="B143" s="99" t="s">
        <v>33</v>
      </c>
      <c r="C143" s="99"/>
      <c r="D143" s="99"/>
      <c r="E143" s="99"/>
      <c r="F143" s="99"/>
      <c r="G143" s="99"/>
      <c r="H143" s="99"/>
      <c r="I143" s="99"/>
      <c r="J143" s="27">
        <f>J71</f>
        <v>1376.09</v>
      </c>
    </row>
    <row r="144" spans="1:10" ht="14.65" customHeight="1">
      <c r="A144" s="48" t="s">
        <v>9</v>
      </c>
      <c r="B144" s="99" t="s">
        <v>125</v>
      </c>
      <c r="C144" s="99"/>
      <c r="D144" s="99"/>
      <c r="E144" s="99"/>
      <c r="F144" s="99"/>
      <c r="G144" s="99"/>
      <c r="H144" s="99"/>
      <c r="I144" s="99"/>
      <c r="J144" s="27">
        <f>J81</f>
        <v>74.038398333333333</v>
      </c>
    </row>
    <row r="145" spans="1:12" ht="14.65" customHeight="1">
      <c r="A145" s="48" t="s">
        <v>12</v>
      </c>
      <c r="B145" s="99" t="s">
        <v>126</v>
      </c>
      <c r="C145" s="99"/>
      <c r="D145" s="99"/>
      <c r="E145" s="99"/>
      <c r="F145" s="99"/>
      <c r="G145" s="99"/>
      <c r="H145" s="99"/>
      <c r="I145" s="99"/>
      <c r="J145" s="27">
        <f>J107</f>
        <v>161.61295052222223</v>
      </c>
    </row>
    <row r="146" spans="1:12" ht="14.65" customHeight="1">
      <c r="A146" s="48" t="s">
        <v>29</v>
      </c>
      <c r="B146" s="99" t="s">
        <v>127</v>
      </c>
      <c r="C146" s="99"/>
      <c r="D146" s="99"/>
      <c r="E146" s="99"/>
      <c r="F146" s="99"/>
      <c r="G146" s="99"/>
      <c r="H146" s="99"/>
      <c r="I146" s="99"/>
      <c r="J146" s="27">
        <f>J115</f>
        <v>243.90189393939394</v>
      </c>
    </row>
    <row r="147" spans="1:12" ht="14.65" customHeight="1">
      <c r="A147" s="100" t="s">
        <v>128</v>
      </c>
      <c r="B147" s="100"/>
      <c r="C147" s="100"/>
      <c r="D147" s="100"/>
      <c r="E147" s="100"/>
      <c r="F147" s="100"/>
      <c r="G147" s="100"/>
      <c r="H147" s="100"/>
      <c r="I147" s="100"/>
      <c r="J147" s="38">
        <f>SUM(J142:J146)</f>
        <v>3602.5672427949494</v>
      </c>
    </row>
    <row r="148" spans="1:12" ht="14.65" customHeight="1">
      <c r="A148" s="48" t="s">
        <v>53</v>
      </c>
      <c r="B148" s="99" t="s">
        <v>129</v>
      </c>
      <c r="C148" s="99"/>
      <c r="D148" s="99"/>
      <c r="E148" s="99"/>
      <c r="F148" s="99"/>
      <c r="G148" s="99"/>
      <c r="H148" s="99"/>
      <c r="I148" s="99"/>
      <c r="J148" s="27">
        <f>J133</f>
        <v>1432.28</v>
      </c>
    </row>
    <row r="149" spans="1:12" ht="14.65" customHeight="1">
      <c r="A149" s="100" t="s">
        <v>130</v>
      </c>
      <c r="B149" s="100"/>
      <c r="C149" s="100"/>
      <c r="D149" s="100"/>
      <c r="E149" s="100"/>
      <c r="F149" s="100"/>
      <c r="G149" s="100"/>
      <c r="H149" s="100"/>
      <c r="I149" s="100"/>
      <c r="J149" s="38">
        <f>SUM(J147:J148)</f>
        <v>5034.8472427949491</v>
      </c>
    </row>
    <row r="150" spans="1:12" ht="27.5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B60:H60"/>
    <mergeCell ref="B61:I61"/>
    <mergeCell ref="B62:I62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A1:J1"/>
    <mergeCell ref="A2:J2"/>
    <mergeCell ref="A3:G3"/>
    <mergeCell ref="H3:J3"/>
    <mergeCell ref="A4:G4"/>
    <mergeCell ref="H4:J4"/>
    <mergeCell ref="B9:G9"/>
    <mergeCell ref="H9:J9"/>
    <mergeCell ref="B10:G10"/>
    <mergeCell ref="H10:J10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B2FB5-F4B3-4F86-A727-20A5EEA6F236}">
  <sheetPr>
    <tabColor rgb="FF0070C0"/>
  </sheetPr>
  <dimension ref="A1:Q172"/>
  <sheetViews>
    <sheetView showGridLines="0" view="pageBreakPreview" topLeftCell="A46" zoomScaleNormal="100" zoomScaleSheetLayoutView="100" zoomScalePageLayoutView="95" workbookViewId="0">
      <selection activeCell="J64" sqref="J64"/>
    </sheetView>
  </sheetViews>
  <sheetFormatPr defaultRowHeight="12.5"/>
  <cols>
    <col min="1" max="9" width="8.7265625" customWidth="1"/>
    <col min="10" max="10" width="15.453125" customWidth="1"/>
    <col min="11" max="11" width="17.453125" customWidth="1"/>
    <col min="12" max="12" width="17" customWidth="1"/>
    <col min="13" max="16" width="8.7265625" customWidth="1"/>
    <col min="17" max="17" width="10.81640625" customWidth="1"/>
    <col min="18" max="1025" width="8.7265625" customWidth="1"/>
  </cols>
  <sheetData>
    <row r="1" spans="1:12" ht="24.25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2" ht="46.5" customHeight="1">
      <c r="A2" s="136" t="s">
        <v>297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2" ht="14.65" customHeight="1">
      <c r="A3" s="109" t="s">
        <v>1</v>
      </c>
      <c r="B3" s="109"/>
      <c r="C3" s="109"/>
      <c r="D3" s="109"/>
      <c r="E3" s="109"/>
      <c r="F3" s="109"/>
      <c r="G3" s="109"/>
      <c r="H3" s="138" t="s">
        <v>145</v>
      </c>
      <c r="I3" s="139"/>
      <c r="J3" s="139"/>
    </row>
    <row r="4" spans="1:12" ht="14.65" customHeight="1">
      <c r="A4" s="109" t="s">
        <v>2</v>
      </c>
      <c r="B4" s="109"/>
      <c r="C4" s="109"/>
      <c r="D4" s="109"/>
      <c r="E4" s="109"/>
      <c r="F4" s="109"/>
      <c r="G4" s="109"/>
      <c r="H4" s="140" t="s">
        <v>144</v>
      </c>
      <c r="I4" s="139"/>
      <c r="J4" s="139"/>
    </row>
    <row r="5" spans="1:12" ht="14.65" customHeight="1">
      <c r="A5" s="109" t="s">
        <v>3</v>
      </c>
      <c r="B5" s="109"/>
      <c r="C5" s="109"/>
      <c r="D5" s="109"/>
      <c r="E5" s="109"/>
      <c r="F5" s="109"/>
      <c r="G5" s="109"/>
      <c r="H5" s="109"/>
      <c r="I5" s="109"/>
      <c r="J5" s="109"/>
    </row>
    <row r="6" spans="1:12" ht="16.149999999999999" customHeight="1">
      <c r="A6" s="142" t="s">
        <v>4</v>
      </c>
      <c r="B6" s="142"/>
      <c r="C6" s="142"/>
      <c r="D6" s="142"/>
      <c r="E6" s="142"/>
      <c r="F6" s="142"/>
      <c r="G6" s="142"/>
      <c r="H6" s="142"/>
      <c r="I6" s="142"/>
      <c r="J6" s="142"/>
    </row>
    <row r="7" spans="1:12" ht="14.65" customHeight="1">
      <c r="A7" s="1" t="s">
        <v>5</v>
      </c>
      <c r="B7" s="109" t="s">
        <v>6</v>
      </c>
      <c r="C7" s="109"/>
      <c r="D7" s="109"/>
      <c r="E7" s="109"/>
      <c r="F7" s="109"/>
      <c r="G7" s="109"/>
      <c r="H7" s="141">
        <v>44029</v>
      </c>
      <c r="I7" s="141"/>
      <c r="J7" s="141"/>
    </row>
    <row r="8" spans="1:12" ht="14.65" customHeight="1">
      <c r="A8" s="1" t="s">
        <v>7</v>
      </c>
      <c r="B8" s="109" t="s">
        <v>8</v>
      </c>
      <c r="C8" s="109"/>
      <c r="D8" s="109"/>
      <c r="E8" s="109"/>
      <c r="F8" s="109"/>
      <c r="G8" s="109"/>
      <c r="H8" s="141" t="s">
        <v>140</v>
      </c>
      <c r="I8" s="141"/>
      <c r="J8" s="141"/>
    </row>
    <row r="9" spans="1:12" ht="39" customHeight="1">
      <c r="A9" s="1" t="s">
        <v>9</v>
      </c>
      <c r="B9" s="109" t="s">
        <v>10</v>
      </c>
      <c r="C9" s="109"/>
      <c r="D9" s="109"/>
      <c r="E9" s="109"/>
      <c r="F9" s="109"/>
      <c r="G9" s="109"/>
      <c r="H9" s="141" t="s">
        <v>11</v>
      </c>
      <c r="I9" s="141"/>
      <c r="J9" s="141"/>
      <c r="L9" s="55"/>
    </row>
    <row r="10" spans="1:12" ht="14.65" customHeight="1">
      <c r="A10" s="1" t="s">
        <v>12</v>
      </c>
      <c r="B10" s="109" t="s">
        <v>13</v>
      </c>
      <c r="C10" s="109"/>
      <c r="D10" s="109"/>
      <c r="E10" s="109"/>
      <c r="F10" s="109"/>
      <c r="G10" s="109"/>
      <c r="H10" s="139">
        <v>12</v>
      </c>
      <c r="I10" s="139"/>
      <c r="J10" s="139"/>
    </row>
    <row r="11" spans="1:12" ht="13">
      <c r="A11" s="101"/>
      <c r="B11" s="101"/>
      <c r="C11" s="101"/>
      <c r="D11" s="101"/>
      <c r="E11" s="101"/>
      <c r="F11" s="101"/>
      <c r="G11" s="101"/>
      <c r="H11" s="101"/>
      <c r="I11" s="101"/>
      <c r="J11" s="101"/>
    </row>
    <row r="12" spans="1:12" ht="48.75" customHeight="1">
      <c r="A12" s="132" t="s">
        <v>14</v>
      </c>
      <c r="B12" s="132"/>
      <c r="C12" s="132"/>
      <c r="D12" s="132"/>
      <c r="E12" s="132"/>
      <c r="F12" s="132"/>
      <c r="G12" s="132"/>
      <c r="H12" s="132"/>
      <c r="I12" s="132"/>
      <c r="J12" s="132"/>
      <c r="L12" s="55"/>
    </row>
    <row r="13" spans="1:12" ht="13">
      <c r="A13" s="101"/>
      <c r="B13" s="101"/>
      <c r="C13" s="101"/>
      <c r="D13" s="101"/>
      <c r="E13" s="101"/>
      <c r="F13" s="101"/>
      <c r="G13" s="101"/>
      <c r="H13" s="101"/>
      <c r="I13" s="101"/>
      <c r="J13" s="101"/>
    </row>
    <row r="14" spans="1:12" ht="16.149999999999999" customHeight="1">
      <c r="A14" s="115" t="s">
        <v>15</v>
      </c>
      <c r="B14" s="115"/>
      <c r="C14" s="115"/>
      <c r="D14" s="115"/>
      <c r="E14" s="115"/>
      <c r="F14" s="115"/>
      <c r="G14" s="115"/>
      <c r="H14" s="115"/>
      <c r="I14" s="115"/>
      <c r="J14" s="115"/>
      <c r="L14" s="55"/>
    </row>
    <row r="15" spans="1:12" ht="16.149999999999999" customHeight="1">
      <c r="A15" s="1">
        <v>1</v>
      </c>
      <c r="B15" s="109" t="s">
        <v>16</v>
      </c>
      <c r="C15" s="109"/>
      <c r="D15" s="109"/>
      <c r="E15" s="109"/>
      <c r="F15" s="109"/>
      <c r="G15" s="109"/>
      <c r="H15" s="134" t="s">
        <v>17</v>
      </c>
      <c r="I15" s="134"/>
      <c r="J15" s="134"/>
    </row>
    <row r="16" spans="1:12" ht="16.149999999999999" customHeight="1">
      <c r="A16" s="1">
        <v>2</v>
      </c>
      <c r="B16" s="109" t="s">
        <v>18</v>
      </c>
      <c r="C16" s="109"/>
      <c r="D16" s="109"/>
      <c r="E16" s="109"/>
      <c r="F16" s="109"/>
      <c r="G16" s="109"/>
      <c r="H16" s="134">
        <v>9511</v>
      </c>
      <c r="I16" s="134"/>
      <c r="J16" s="134"/>
    </row>
    <row r="17" spans="1:17" ht="16.149999999999999" customHeight="1">
      <c r="A17" s="1">
        <v>3</v>
      </c>
      <c r="B17" s="109" t="s">
        <v>19</v>
      </c>
      <c r="C17" s="109"/>
      <c r="D17" s="109"/>
      <c r="E17" s="109"/>
      <c r="F17" s="109"/>
      <c r="G17" s="109"/>
      <c r="H17" s="143">
        <v>1601.35</v>
      </c>
      <c r="I17" s="143"/>
      <c r="J17" s="143"/>
    </row>
    <row r="18" spans="1:17" ht="16.149999999999999" customHeight="1">
      <c r="A18" s="1">
        <v>4</v>
      </c>
      <c r="B18" s="109" t="s">
        <v>20</v>
      </c>
      <c r="C18" s="109"/>
      <c r="D18" s="109"/>
      <c r="E18" s="109"/>
      <c r="F18" s="109"/>
      <c r="G18" s="109"/>
      <c r="H18" s="134" t="s">
        <v>177</v>
      </c>
      <c r="I18" s="134"/>
      <c r="J18" s="134"/>
    </row>
    <row r="19" spans="1:17" ht="16.149999999999999" customHeight="1">
      <c r="A19" s="1">
        <v>5</v>
      </c>
      <c r="B19" s="109" t="s">
        <v>21</v>
      </c>
      <c r="C19" s="109"/>
      <c r="D19" s="109"/>
      <c r="E19" s="109"/>
      <c r="F19" s="109"/>
      <c r="G19" s="109"/>
      <c r="H19" s="133" t="s">
        <v>141</v>
      </c>
      <c r="I19" s="133"/>
      <c r="J19" s="133"/>
    </row>
    <row r="20" spans="1:17" ht="16.149999999999999" customHeight="1">
      <c r="A20" s="1">
        <v>5</v>
      </c>
      <c r="B20" s="109" t="s">
        <v>133</v>
      </c>
      <c r="C20" s="109"/>
      <c r="D20" s="109"/>
      <c r="E20" s="109"/>
      <c r="F20" s="109"/>
      <c r="G20" s="109"/>
      <c r="H20" s="131">
        <v>44</v>
      </c>
      <c r="I20" s="131"/>
      <c r="J20" s="131"/>
    </row>
    <row r="21" spans="1:17" ht="13">
      <c r="A21" s="101"/>
      <c r="B21" s="101"/>
      <c r="C21" s="101"/>
      <c r="D21" s="101"/>
      <c r="E21" s="101"/>
      <c r="F21" s="101"/>
      <c r="G21" s="101"/>
      <c r="H21" s="101"/>
      <c r="I21" s="101"/>
      <c r="J21" s="101"/>
    </row>
    <row r="22" spans="1:17" ht="20.65" customHeight="1">
      <c r="A22" s="132" t="s">
        <v>22</v>
      </c>
      <c r="B22" s="132"/>
      <c r="C22" s="132"/>
      <c r="D22" s="132"/>
      <c r="E22" s="132"/>
      <c r="F22" s="132"/>
      <c r="G22" s="132"/>
      <c r="H22" s="132"/>
      <c r="I22" s="132"/>
      <c r="J22" s="132"/>
    </row>
    <row r="23" spans="1:17" ht="30.4" customHeight="1">
      <c r="A23" s="64">
        <v>1</v>
      </c>
      <c r="B23" s="115" t="s">
        <v>23</v>
      </c>
      <c r="C23" s="115"/>
      <c r="D23" s="115"/>
      <c r="E23" s="115"/>
      <c r="F23" s="115"/>
      <c r="G23" s="115"/>
      <c r="H23" s="115" t="s">
        <v>24</v>
      </c>
      <c r="I23" s="115"/>
      <c r="J23" s="64" t="s">
        <v>25</v>
      </c>
    </row>
    <row r="24" spans="1:17" ht="12.75" customHeight="1">
      <c r="A24" s="1" t="s">
        <v>5</v>
      </c>
      <c r="B24" s="109" t="s">
        <v>143</v>
      </c>
      <c r="C24" s="109"/>
      <c r="D24" s="109"/>
      <c r="E24" s="109"/>
      <c r="F24" s="109"/>
      <c r="G24" s="109"/>
      <c r="H24" s="109"/>
      <c r="I24" s="109"/>
      <c r="J24" s="2">
        <f>ROUND(H17/44*H20,2)</f>
        <v>1601.35</v>
      </c>
    </row>
    <row r="25" spans="1:17" ht="12.75" customHeight="1">
      <c r="A25" s="66" t="s">
        <v>7</v>
      </c>
      <c r="B25" s="109" t="s">
        <v>26</v>
      </c>
      <c r="C25" s="109"/>
      <c r="D25" s="109"/>
      <c r="E25" s="109"/>
      <c r="F25" s="109"/>
      <c r="G25" s="109"/>
      <c r="H25" s="109"/>
      <c r="I25" s="3"/>
      <c r="J25" s="2"/>
      <c r="K25" s="57"/>
    </row>
    <row r="26" spans="1:17" ht="12.75" customHeight="1">
      <c r="A26" s="66" t="s">
        <v>9</v>
      </c>
      <c r="B26" s="109" t="s">
        <v>27</v>
      </c>
      <c r="C26" s="109"/>
      <c r="D26" s="109"/>
      <c r="E26" s="109"/>
      <c r="F26" s="109"/>
      <c r="G26" s="109"/>
      <c r="H26" s="109"/>
      <c r="I26" s="109"/>
      <c r="J26" s="2"/>
    </row>
    <row r="27" spans="1:17" ht="12.75" customHeight="1">
      <c r="A27" s="66" t="s">
        <v>12</v>
      </c>
      <c r="B27" s="109" t="s">
        <v>28</v>
      </c>
      <c r="C27" s="109"/>
      <c r="D27" s="109"/>
      <c r="E27" s="109"/>
      <c r="F27" s="109"/>
      <c r="G27" s="109"/>
      <c r="H27" s="109"/>
      <c r="I27" s="109"/>
      <c r="J27" s="2"/>
    </row>
    <row r="28" spans="1:17" ht="12.75" customHeight="1">
      <c r="A28" s="66" t="s">
        <v>29</v>
      </c>
      <c r="B28" s="109" t="s">
        <v>30</v>
      </c>
      <c r="C28" s="109"/>
      <c r="D28" s="109"/>
      <c r="E28" s="109"/>
      <c r="F28" s="109"/>
      <c r="G28" s="109"/>
      <c r="H28" s="109"/>
      <c r="I28" s="109"/>
      <c r="J28" s="2"/>
      <c r="Q28" s="54"/>
    </row>
    <row r="29" spans="1:17" ht="12.75" customHeight="1">
      <c r="A29" s="1" t="s">
        <v>7</v>
      </c>
      <c r="B29" s="109" t="s">
        <v>31</v>
      </c>
      <c r="C29" s="109"/>
      <c r="D29" s="109"/>
      <c r="E29" s="109"/>
      <c r="F29" s="109"/>
      <c r="G29" s="109"/>
      <c r="H29" s="109"/>
      <c r="I29" s="4">
        <v>0.2</v>
      </c>
      <c r="J29" s="2">
        <f>I29*J24</f>
        <v>320.27</v>
      </c>
      <c r="Q29" s="54"/>
    </row>
    <row r="30" spans="1:17" ht="15.75" customHeight="1">
      <c r="A30" s="116" t="s">
        <v>32</v>
      </c>
      <c r="B30" s="116"/>
      <c r="C30" s="116"/>
      <c r="D30" s="116"/>
      <c r="E30" s="116"/>
      <c r="F30" s="116"/>
      <c r="G30" s="116"/>
      <c r="H30" s="116"/>
      <c r="I30" s="116"/>
      <c r="J30" s="5">
        <f>SUM(J24:J29)</f>
        <v>1921.62</v>
      </c>
    </row>
    <row r="31" spans="1:17" ht="13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Q31" s="54"/>
    </row>
    <row r="32" spans="1:17" ht="16.149999999999999" customHeight="1">
      <c r="A32" s="112" t="s">
        <v>33</v>
      </c>
      <c r="B32" s="112"/>
      <c r="C32" s="112"/>
      <c r="D32" s="112"/>
      <c r="E32" s="112"/>
      <c r="F32" s="112"/>
      <c r="G32" s="112"/>
      <c r="H32" s="112"/>
      <c r="I32" s="112"/>
      <c r="J32" s="112"/>
    </row>
    <row r="33" spans="1:13" ht="14">
      <c r="A33" s="129" t="s">
        <v>34</v>
      </c>
      <c r="B33" s="129"/>
      <c r="C33" s="129"/>
      <c r="D33" s="129"/>
      <c r="E33" s="129"/>
      <c r="F33" s="129"/>
      <c r="G33" s="129"/>
      <c r="H33" s="129"/>
      <c r="I33" s="129"/>
      <c r="J33" s="129"/>
    </row>
    <row r="34" spans="1:13" ht="14">
      <c r="A34" s="6" t="s">
        <v>35</v>
      </c>
      <c r="B34" s="130" t="s">
        <v>36</v>
      </c>
      <c r="C34" s="130"/>
      <c r="D34" s="130"/>
      <c r="E34" s="130"/>
      <c r="F34" s="130"/>
      <c r="G34" s="130"/>
      <c r="H34" s="130"/>
      <c r="I34" s="130"/>
      <c r="J34" s="7" t="s">
        <v>37</v>
      </c>
    </row>
    <row r="35" spans="1:13" ht="27.65" customHeight="1">
      <c r="A35" s="8" t="s">
        <v>5</v>
      </c>
      <c r="B35" s="109" t="s">
        <v>38</v>
      </c>
      <c r="C35" s="109"/>
      <c r="D35" s="109"/>
      <c r="E35" s="109"/>
      <c r="F35" s="109"/>
      <c r="G35" s="109"/>
      <c r="H35" s="109"/>
      <c r="I35" s="9">
        <v>8.3299999999999999E-2</v>
      </c>
      <c r="J35" s="10">
        <f>ROUND($J$30*I35,2)</f>
        <v>160.07</v>
      </c>
      <c r="M35" s="55"/>
    </row>
    <row r="36" spans="1:13" ht="36.25" customHeight="1">
      <c r="A36" s="8" t="s">
        <v>7</v>
      </c>
      <c r="B36" s="120" t="s">
        <v>39</v>
      </c>
      <c r="C36" s="120"/>
      <c r="D36" s="120"/>
      <c r="E36" s="120"/>
      <c r="F36" s="120"/>
      <c r="G36" s="120"/>
      <c r="H36" s="120"/>
      <c r="I36" s="11">
        <v>3.0249999999999999E-2</v>
      </c>
      <c r="J36" s="10">
        <f>ROUND($J$30*I36,2)</f>
        <v>58.13</v>
      </c>
    </row>
    <row r="37" spans="1:13" ht="13">
      <c r="A37" s="128" t="s">
        <v>40</v>
      </c>
      <c r="B37" s="128"/>
      <c r="C37" s="128"/>
      <c r="D37" s="128"/>
      <c r="E37" s="128"/>
      <c r="F37" s="128"/>
      <c r="G37" s="128"/>
      <c r="H37" s="128"/>
      <c r="I37" s="128"/>
      <c r="J37" s="65">
        <f>SUM(J35+J36)</f>
        <v>218.2</v>
      </c>
    </row>
    <row r="38" spans="1:13" ht="13">
      <c r="A38" s="101"/>
      <c r="B38" s="101"/>
      <c r="C38" s="101"/>
      <c r="D38" s="101"/>
      <c r="E38" s="101"/>
      <c r="F38" s="101"/>
      <c r="G38" s="101"/>
      <c r="H38" s="101"/>
      <c r="I38" s="101"/>
      <c r="J38" s="101"/>
    </row>
    <row r="39" spans="1:13" ht="30.4" customHeight="1">
      <c r="A39" s="112" t="s">
        <v>41</v>
      </c>
      <c r="B39" s="112"/>
      <c r="C39" s="112"/>
      <c r="D39" s="112"/>
      <c r="E39" s="112"/>
      <c r="F39" s="112"/>
      <c r="G39" s="112"/>
      <c r="H39" s="112"/>
      <c r="I39" s="112"/>
      <c r="J39" s="112"/>
    </row>
    <row r="40" spans="1:13" ht="30.4" customHeight="1">
      <c r="A40" s="63" t="s">
        <v>42</v>
      </c>
      <c r="B40" s="113" t="s">
        <v>43</v>
      </c>
      <c r="C40" s="113"/>
      <c r="D40" s="113"/>
      <c r="E40" s="113"/>
      <c r="F40" s="113"/>
      <c r="G40" s="113"/>
      <c r="H40" s="113"/>
      <c r="I40" s="64" t="s">
        <v>44</v>
      </c>
      <c r="J40" s="64" t="s">
        <v>45</v>
      </c>
    </row>
    <row r="41" spans="1:13" ht="13">
      <c r="A41" s="8" t="s">
        <v>5</v>
      </c>
      <c r="B41" s="104" t="s">
        <v>46</v>
      </c>
      <c r="C41" s="104"/>
      <c r="D41" s="104"/>
      <c r="E41" s="104"/>
      <c r="F41" s="104"/>
      <c r="G41" s="104"/>
      <c r="H41" s="104"/>
      <c r="I41" s="15">
        <v>0.2</v>
      </c>
      <c r="J41" s="16">
        <f>ROUND(($J$30+$J$37)*I41,2)</f>
        <v>427.96</v>
      </c>
    </row>
    <row r="42" spans="1:13" ht="13">
      <c r="A42" s="8" t="s">
        <v>7</v>
      </c>
      <c r="B42" s="104" t="s">
        <v>47</v>
      </c>
      <c r="C42" s="104"/>
      <c r="D42" s="104"/>
      <c r="E42" s="104"/>
      <c r="F42" s="104"/>
      <c r="G42" s="104"/>
      <c r="H42" s="104"/>
      <c r="I42" s="15">
        <v>2.5000000000000001E-2</v>
      </c>
      <c r="J42" s="16">
        <f t="shared" ref="J42:J48" si="0">ROUND(($J$30+$J$37)*I42,2)</f>
        <v>53.5</v>
      </c>
    </row>
    <row r="43" spans="1:13" ht="23.9" customHeight="1">
      <c r="A43" s="8" t="s">
        <v>9</v>
      </c>
      <c r="B43" s="109" t="s">
        <v>48</v>
      </c>
      <c r="C43" s="109"/>
      <c r="D43" s="109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21.4</v>
      </c>
    </row>
    <row r="44" spans="1:13" ht="13">
      <c r="A44" s="8" t="s">
        <v>12</v>
      </c>
      <c r="B44" s="104" t="s">
        <v>51</v>
      </c>
      <c r="C44" s="104"/>
      <c r="D44" s="104"/>
      <c r="E44" s="104"/>
      <c r="F44" s="104"/>
      <c r="G44" s="104"/>
      <c r="H44" s="104"/>
      <c r="I44" s="15">
        <v>1.4999999999999999E-2</v>
      </c>
      <c r="J44" s="16">
        <f t="shared" si="0"/>
        <v>32.1</v>
      </c>
    </row>
    <row r="45" spans="1:13" ht="13">
      <c r="A45" s="8" t="s">
        <v>29</v>
      </c>
      <c r="B45" s="104" t="s">
        <v>52</v>
      </c>
      <c r="C45" s="104"/>
      <c r="D45" s="104"/>
      <c r="E45" s="104"/>
      <c r="F45" s="104"/>
      <c r="G45" s="104"/>
      <c r="H45" s="104"/>
      <c r="I45" s="15">
        <v>0.01</v>
      </c>
      <c r="J45" s="16">
        <f t="shared" si="0"/>
        <v>21.4</v>
      </c>
    </row>
    <row r="46" spans="1:13" ht="13">
      <c r="A46" s="8" t="s">
        <v>53</v>
      </c>
      <c r="B46" s="104" t="s">
        <v>54</v>
      </c>
      <c r="C46" s="104"/>
      <c r="D46" s="104"/>
      <c r="E46" s="104"/>
      <c r="F46" s="104"/>
      <c r="G46" s="104"/>
      <c r="H46" s="104"/>
      <c r="I46" s="15">
        <v>6.0000000000000001E-3</v>
      </c>
      <c r="J46" s="16">
        <f t="shared" si="0"/>
        <v>12.84</v>
      </c>
    </row>
    <row r="47" spans="1:13" ht="13">
      <c r="A47" s="8" t="s">
        <v>55</v>
      </c>
      <c r="B47" s="104" t="s">
        <v>56</v>
      </c>
      <c r="C47" s="104"/>
      <c r="D47" s="104"/>
      <c r="E47" s="104"/>
      <c r="F47" s="104"/>
      <c r="G47" s="104"/>
      <c r="H47" s="104"/>
      <c r="I47" s="15">
        <v>2E-3</v>
      </c>
      <c r="J47" s="16">
        <f t="shared" si="0"/>
        <v>4.28</v>
      </c>
    </row>
    <row r="48" spans="1:13" ht="13">
      <c r="A48" s="8" t="s">
        <v>57</v>
      </c>
      <c r="B48" s="104" t="s">
        <v>58</v>
      </c>
      <c r="C48" s="104"/>
      <c r="D48" s="104"/>
      <c r="E48" s="104"/>
      <c r="F48" s="104"/>
      <c r="G48" s="104"/>
      <c r="H48" s="104"/>
      <c r="I48" s="15">
        <v>0.08</v>
      </c>
      <c r="J48" s="16">
        <f t="shared" si="0"/>
        <v>171.19</v>
      </c>
    </row>
    <row r="49" spans="1:12" ht="13">
      <c r="A49" s="105" t="s">
        <v>40</v>
      </c>
      <c r="B49" s="105"/>
      <c r="C49" s="105"/>
      <c r="D49" s="105"/>
      <c r="E49" s="105"/>
      <c r="F49" s="105"/>
      <c r="G49" s="105"/>
      <c r="H49" s="105"/>
      <c r="I49" s="21">
        <f>SUM(I41:I48)</f>
        <v>0.34800000000000003</v>
      </c>
      <c r="J49" s="14">
        <f>SUM(J41:J48)</f>
        <v>744.66999999999985</v>
      </c>
    </row>
    <row r="50" spans="1:12" ht="13">
      <c r="A50" s="101"/>
      <c r="B50" s="101"/>
      <c r="C50" s="101"/>
      <c r="D50" s="101"/>
      <c r="E50" s="101"/>
      <c r="F50" s="101"/>
      <c r="G50" s="101"/>
      <c r="H50" s="101"/>
      <c r="I50" s="101"/>
      <c r="J50" s="101"/>
    </row>
    <row r="51" spans="1:12" ht="16.149999999999999" customHeight="1">
      <c r="A51" s="112" t="s">
        <v>59</v>
      </c>
      <c r="B51" s="112"/>
      <c r="C51" s="112"/>
      <c r="D51" s="112"/>
      <c r="E51" s="112"/>
      <c r="F51" s="112"/>
      <c r="G51" s="112"/>
      <c r="H51" s="112"/>
      <c r="I51" s="112"/>
      <c r="J51" s="112"/>
      <c r="L51" s="53"/>
    </row>
    <row r="52" spans="1:12" ht="16.149999999999999" customHeight="1">
      <c r="A52" s="69" t="s">
        <v>60</v>
      </c>
      <c r="B52" s="113" t="s">
        <v>61</v>
      </c>
      <c r="C52" s="113"/>
      <c r="D52" s="113"/>
      <c r="E52" s="113"/>
      <c r="F52" s="113"/>
      <c r="G52" s="113"/>
      <c r="H52" s="113"/>
      <c r="I52" s="113"/>
      <c r="J52" s="68" t="s">
        <v>37</v>
      </c>
    </row>
    <row r="53" spans="1:12" ht="13">
      <c r="A53" s="8" t="s">
        <v>5</v>
      </c>
      <c r="B53" s="104" t="s">
        <v>62</v>
      </c>
      <c r="C53" s="104"/>
      <c r="D53" s="104"/>
      <c r="E53" s="104"/>
      <c r="F53" s="104"/>
      <c r="G53" s="104"/>
      <c r="H53" s="104"/>
      <c r="I53" s="104"/>
      <c r="J53" s="16">
        <f>IF(ROUND((I56*I54*I55)-(J24*0.06),2)&lt;0,0,ROUND((I56*I54*I55)-(J24*0.06),2))</f>
        <v>153.52000000000001</v>
      </c>
    </row>
    <row r="54" spans="1:12" ht="13">
      <c r="A54" s="8"/>
      <c r="B54" s="121" t="s">
        <v>63</v>
      </c>
      <c r="C54" s="121"/>
      <c r="D54" s="121"/>
      <c r="E54" s="121"/>
      <c r="F54" s="121"/>
      <c r="G54" s="121"/>
      <c r="H54" s="121"/>
      <c r="I54" s="22">
        <v>4.8</v>
      </c>
      <c r="J54" s="51" t="s">
        <v>64</v>
      </c>
    </row>
    <row r="55" spans="1:12" ht="13">
      <c r="A55" s="8"/>
      <c r="B55" s="121" t="s">
        <v>65</v>
      </c>
      <c r="C55" s="121"/>
      <c r="D55" s="121"/>
      <c r="E55" s="121"/>
      <c r="F55" s="121"/>
      <c r="G55" s="121"/>
      <c r="H55" s="121"/>
      <c r="I55" s="23">
        <v>2</v>
      </c>
      <c r="J55" s="51"/>
    </row>
    <row r="56" spans="1:12" ht="13">
      <c r="A56" s="8"/>
      <c r="B56" s="121" t="s">
        <v>66</v>
      </c>
      <c r="C56" s="121"/>
      <c r="D56" s="121"/>
      <c r="E56" s="121"/>
      <c r="F56" s="121"/>
      <c r="G56" s="121"/>
      <c r="H56" s="121"/>
      <c r="I56" s="24">
        <v>26</v>
      </c>
      <c r="J56" s="51"/>
    </row>
    <row r="57" spans="1:12" ht="13">
      <c r="A57" s="8" t="s">
        <v>7</v>
      </c>
      <c r="B57" s="104" t="s">
        <v>67</v>
      </c>
      <c r="C57" s="104"/>
      <c r="D57" s="104"/>
      <c r="E57" s="104"/>
      <c r="F57" s="104"/>
      <c r="G57" s="104"/>
      <c r="H57" s="104"/>
      <c r="I57" s="104"/>
      <c r="J57" s="16">
        <f>ROUND((I58*I59)-(I59*I58*I60),2)</f>
        <v>359.61</v>
      </c>
    </row>
    <row r="58" spans="1:12" ht="13">
      <c r="A58" s="8"/>
      <c r="B58" s="121" t="s">
        <v>68</v>
      </c>
      <c r="C58" s="121"/>
      <c r="D58" s="121"/>
      <c r="E58" s="121"/>
      <c r="F58" s="121"/>
      <c r="G58" s="121"/>
      <c r="H58" s="121"/>
      <c r="I58" s="22">
        <v>20.18</v>
      </c>
      <c r="J58" s="51" t="s">
        <v>64</v>
      </c>
    </row>
    <row r="59" spans="1:12" ht="13">
      <c r="A59" s="25"/>
      <c r="B59" s="121" t="s">
        <v>69</v>
      </c>
      <c r="C59" s="121"/>
      <c r="D59" s="121"/>
      <c r="E59" s="121"/>
      <c r="F59" s="121"/>
      <c r="G59" s="121"/>
      <c r="H59" s="121"/>
      <c r="I59" s="26">
        <v>22</v>
      </c>
      <c r="J59" s="51"/>
    </row>
    <row r="60" spans="1:12" ht="13">
      <c r="A60" s="25"/>
      <c r="B60" s="121" t="s">
        <v>132</v>
      </c>
      <c r="C60" s="121"/>
      <c r="D60" s="121"/>
      <c r="E60" s="121"/>
      <c r="F60" s="121"/>
      <c r="G60" s="121"/>
      <c r="H60" s="121"/>
      <c r="I60" s="52">
        <v>0.19</v>
      </c>
      <c r="J60" s="51"/>
    </row>
    <row r="61" spans="1:12" ht="27.65" customHeight="1">
      <c r="A61" s="8"/>
      <c r="B61" s="121" t="s">
        <v>208</v>
      </c>
      <c r="C61" s="121"/>
      <c r="D61" s="121"/>
      <c r="E61" s="121"/>
      <c r="F61" s="121"/>
      <c r="G61" s="121"/>
      <c r="H61" s="121"/>
      <c r="I61" s="22">
        <f>I58/2</f>
        <v>10.09</v>
      </c>
      <c r="J61" s="16">
        <f>ROUND((I61*I62)-(I61*I62*I60),2)</f>
        <v>32.69</v>
      </c>
    </row>
    <row r="62" spans="1:12" ht="27.65" customHeight="1">
      <c r="A62" s="25"/>
      <c r="B62" s="121" t="s">
        <v>69</v>
      </c>
      <c r="C62" s="121"/>
      <c r="D62" s="121"/>
      <c r="E62" s="121"/>
      <c r="F62" s="121"/>
      <c r="G62" s="121"/>
      <c r="H62" s="121"/>
      <c r="I62" s="26">
        <v>4</v>
      </c>
      <c r="J62" s="51"/>
      <c r="L62" s="50"/>
    </row>
    <row r="63" spans="1:12" ht="27.65" customHeight="1">
      <c r="A63" s="8" t="s">
        <v>12</v>
      </c>
      <c r="B63" s="122" t="s">
        <v>186</v>
      </c>
      <c r="C63" s="123"/>
      <c r="D63" s="123"/>
      <c r="E63" s="123"/>
      <c r="F63" s="123"/>
      <c r="G63" s="123"/>
      <c r="H63" s="123"/>
      <c r="I63" s="124"/>
      <c r="J63" s="27">
        <v>17.32</v>
      </c>
      <c r="L63" s="50"/>
    </row>
    <row r="64" spans="1:12" ht="13">
      <c r="A64" s="125" t="s">
        <v>32</v>
      </c>
      <c r="B64" s="126"/>
      <c r="C64" s="126"/>
      <c r="D64" s="126"/>
      <c r="E64" s="126"/>
      <c r="F64" s="126"/>
      <c r="G64" s="126"/>
      <c r="H64" s="126"/>
      <c r="I64" s="127"/>
      <c r="J64" s="14">
        <f>SUM(J53:J63)</f>
        <v>563.14</v>
      </c>
      <c r="L64" s="50"/>
    </row>
    <row r="65" spans="1:12" ht="13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L65" s="50"/>
    </row>
    <row r="66" spans="1:12" ht="16.149999999999999" customHeight="1">
      <c r="A66" s="112" t="s">
        <v>71</v>
      </c>
      <c r="B66" s="112"/>
      <c r="C66" s="112"/>
      <c r="D66" s="112"/>
      <c r="E66" s="112"/>
      <c r="F66" s="112"/>
      <c r="G66" s="112"/>
      <c r="H66" s="112"/>
      <c r="I66" s="112"/>
      <c r="J66" s="112"/>
      <c r="L66" s="50"/>
    </row>
    <row r="67" spans="1:12" ht="16.149999999999999" customHeight="1">
      <c r="A67" s="64">
        <v>2</v>
      </c>
      <c r="B67" s="115" t="s">
        <v>72</v>
      </c>
      <c r="C67" s="115"/>
      <c r="D67" s="115"/>
      <c r="E67" s="115"/>
      <c r="F67" s="115"/>
      <c r="G67" s="115"/>
      <c r="H67" s="115"/>
      <c r="I67" s="115"/>
      <c r="J67" s="64" t="s">
        <v>37</v>
      </c>
      <c r="L67" s="50"/>
    </row>
    <row r="68" spans="1:12" ht="14.65" customHeight="1">
      <c r="A68" s="1" t="s">
        <v>35</v>
      </c>
      <c r="B68" s="1"/>
      <c r="C68" s="109" t="s">
        <v>73</v>
      </c>
      <c r="D68" s="109"/>
      <c r="E68" s="109"/>
      <c r="F68" s="109"/>
      <c r="G68" s="109"/>
      <c r="H68" s="109"/>
      <c r="I68" s="109"/>
      <c r="J68" s="28">
        <f>J37</f>
        <v>218.2</v>
      </c>
      <c r="L68" s="50"/>
    </row>
    <row r="69" spans="1:12" ht="14.65" customHeight="1">
      <c r="A69" s="1" t="s">
        <v>42</v>
      </c>
      <c r="B69" s="1"/>
      <c r="C69" s="109" t="s">
        <v>43</v>
      </c>
      <c r="D69" s="109"/>
      <c r="E69" s="109"/>
      <c r="F69" s="109"/>
      <c r="G69" s="109"/>
      <c r="H69" s="109"/>
      <c r="I69" s="109"/>
      <c r="J69" s="28">
        <f>J49</f>
        <v>744.66999999999985</v>
      </c>
      <c r="L69" s="50"/>
    </row>
    <row r="70" spans="1:12" ht="14.65" customHeight="1">
      <c r="A70" s="1" t="s">
        <v>60</v>
      </c>
      <c r="B70" s="1"/>
      <c r="C70" s="109" t="s">
        <v>61</v>
      </c>
      <c r="D70" s="109"/>
      <c r="E70" s="109"/>
      <c r="F70" s="109"/>
      <c r="G70" s="109"/>
      <c r="H70" s="109"/>
      <c r="I70" s="109"/>
      <c r="J70" s="28">
        <f>J64</f>
        <v>563.14</v>
      </c>
      <c r="L70" s="50"/>
    </row>
    <row r="71" spans="1:12" ht="14.65" customHeight="1">
      <c r="A71" s="116" t="s">
        <v>40</v>
      </c>
      <c r="B71" s="116"/>
      <c r="C71" s="116"/>
      <c r="D71" s="116"/>
      <c r="E71" s="116"/>
      <c r="F71" s="116"/>
      <c r="G71" s="116"/>
      <c r="H71" s="116"/>
      <c r="I71" s="116"/>
      <c r="J71" s="29">
        <f>SUM(J68+J69+J70)</f>
        <v>1526.0099999999998</v>
      </c>
    </row>
    <row r="72" spans="1:12" ht="13">
      <c r="A72" s="101"/>
      <c r="B72" s="101"/>
      <c r="C72" s="101"/>
      <c r="D72" s="101"/>
      <c r="E72" s="101"/>
      <c r="F72" s="101"/>
      <c r="G72" s="101"/>
      <c r="H72" s="101"/>
      <c r="I72" s="101"/>
      <c r="J72" s="101"/>
    </row>
    <row r="73" spans="1:12" ht="16.149999999999999" customHeight="1">
      <c r="A73" s="112" t="s">
        <v>74</v>
      </c>
      <c r="B73" s="112"/>
      <c r="C73" s="112"/>
      <c r="D73" s="112"/>
      <c r="E73" s="112"/>
      <c r="F73" s="112"/>
      <c r="G73" s="112"/>
      <c r="H73" s="112"/>
      <c r="I73" s="112"/>
      <c r="J73" s="112"/>
    </row>
    <row r="74" spans="1:12" ht="16.149999999999999" customHeight="1">
      <c r="A74" s="63">
        <v>3</v>
      </c>
      <c r="B74" s="115" t="s">
        <v>75</v>
      </c>
      <c r="C74" s="115"/>
      <c r="D74" s="115"/>
      <c r="E74" s="115"/>
      <c r="F74" s="115"/>
      <c r="G74" s="115"/>
      <c r="H74" s="115"/>
      <c r="I74" s="115"/>
      <c r="J74" s="63" t="s">
        <v>76</v>
      </c>
    </row>
    <row r="75" spans="1:12" ht="46.5" customHeight="1">
      <c r="A75" s="8" t="s">
        <v>5</v>
      </c>
      <c r="B75" s="109" t="s">
        <v>135</v>
      </c>
      <c r="C75" s="109"/>
      <c r="D75" s="109"/>
      <c r="E75" s="109"/>
      <c r="F75" s="109"/>
      <c r="G75" s="109"/>
      <c r="H75" s="109"/>
      <c r="I75" s="109"/>
      <c r="J75" s="16">
        <f>ROUND(((J30)+(J35)+(J30/12)+(J36))/12*0.01,2)</f>
        <v>1.92</v>
      </c>
      <c r="L75" s="50"/>
    </row>
    <row r="76" spans="1:12" ht="14.65" customHeight="1">
      <c r="A76" s="8" t="s">
        <v>7</v>
      </c>
      <c r="B76" s="109" t="s">
        <v>77</v>
      </c>
      <c r="C76" s="109"/>
      <c r="D76" s="109"/>
      <c r="E76" s="109"/>
      <c r="F76" s="109"/>
      <c r="G76" s="109"/>
      <c r="H76" s="109"/>
      <c r="I76" s="109"/>
      <c r="J76" s="16">
        <f>ROUND($J$75*I48,2)</f>
        <v>0.15</v>
      </c>
    </row>
    <row r="77" spans="1:12" ht="36.25" customHeight="1">
      <c r="A77" s="8" t="s">
        <v>9</v>
      </c>
      <c r="B77" s="109" t="s">
        <v>136</v>
      </c>
      <c r="C77" s="109"/>
      <c r="D77" s="109"/>
      <c r="E77" s="109"/>
      <c r="F77" s="109"/>
      <c r="G77" s="109"/>
      <c r="H77" s="109"/>
      <c r="I77" s="30">
        <v>2.3999999999999998E-3</v>
      </c>
      <c r="J77" s="16">
        <f>ROUND($J$30*I77,2)</f>
        <v>4.6100000000000003</v>
      </c>
    </row>
    <row r="78" spans="1:12" ht="34.5" customHeight="1">
      <c r="A78" s="8" t="s">
        <v>12</v>
      </c>
      <c r="B78" s="109" t="s">
        <v>138</v>
      </c>
      <c r="C78" s="109"/>
      <c r="D78" s="109"/>
      <c r="E78" s="109"/>
      <c r="F78" s="109"/>
      <c r="G78" s="109"/>
      <c r="H78" s="109"/>
      <c r="I78" s="109"/>
      <c r="J78" s="16">
        <f>J30/30*7/12*0.05</f>
        <v>1.868241666666667</v>
      </c>
    </row>
    <row r="79" spans="1:12" ht="14.65" customHeight="1">
      <c r="A79" s="8" t="s">
        <v>29</v>
      </c>
      <c r="B79" s="109" t="s">
        <v>78</v>
      </c>
      <c r="C79" s="109"/>
      <c r="D79" s="109"/>
      <c r="E79" s="109"/>
      <c r="F79" s="109"/>
      <c r="G79" s="109"/>
      <c r="H79" s="109"/>
      <c r="I79" s="109"/>
      <c r="J79" s="16">
        <f>ROUND($I$49*J78,2)</f>
        <v>0.65</v>
      </c>
    </row>
    <row r="80" spans="1:12" ht="36.25" customHeight="1">
      <c r="A80" s="8" t="s">
        <v>53</v>
      </c>
      <c r="B80" s="109" t="s">
        <v>137</v>
      </c>
      <c r="C80" s="109"/>
      <c r="D80" s="109"/>
      <c r="E80" s="109"/>
      <c r="F80" s="109"/>
      <c r="G80" s="109"/>
      <c r="H80" s="109"/>
      <c r="I80" s="30">
        <v>3.7600000000000001E-2</v>
      </c>
      <c r="J80" s="16">
        <f>ROUND($J$30*I80,2)</f>
        <v>72.25</v>
      </c>
    </row>
    <row r="81" spans="1:10" ht="13">
      <c r="A81" s="105" t="s">
        <v>40</v>
      </c>
      <c r="B81" s="105"/>
      <c r="C81" s="105"/>
      <c r="D81" s="105"/>
      <c r="E81" s="105"/>
      <c r="F81" s="105"/>
      <c r="G81" s="105"/>
      <c r="H81" s="105"/>
      <c r="I81" s="105"/>
      <c r="J81" s="14">
        <f>SUM(J75:J80)</f>
        <v>81.448241666666661</v>
      </c>
    </row>
    <row r="82" spans="1:10" ht="13">
      <c r="A82" s="101"/>
      <c r="B82" s="101"/>
      <c r="C82" s="101"/>
      <c r="D82" s="101"/>
      <c r="E82" s="101"/>
      <c r="F82" s="101"/>
      <c r="G82" s="101"/>
      <c r="H82" s="101"/>
      <c r="I82" s="101"/>
      <c r="J82" s="101"/>
    </row>
    <row r="83" spans="1:10" ht="16.149999999999999" customHeight="1">
      <c r="A83" s="112" t="s">
        <v>79</v>
      </c>
      <c r="B83" s="112"/>
      <c r="C83" s="112"/>
      <c r="D83" s="112"/>
      <c r="E83" s="112"/>
      <c r="F83" s="112"/>
      <c r="G83" s="112"/>
      <c r="H83" s="112"/>
      <c r="I83" s="112"/>
      <c r="J83" s="112"/>
    </row>
    <row r="84" spans="1:10" ht="15" customHeight="1">
      <c r="A84" s="119" t="s">
        <v>80</v>
      </c>
      <c r="B84" s="119"/>
      <c r="C84" s="119"/>
      <c r="D84" s="119"/>
      <c r="E84" s="119"/>
      <c r="F84" s="119"/>
      <c r="G84" s="119"/>
      <c r="H84" s="119"/>
      <c r="I84" s="119"/>
      <c r="J84" s="31">
        <f>J87+J30+J35+J36</f>
        <v>2314.21</v>
      </c>
    </row>
    <row r="85" spans="1:10" ht="14.65" customHeight="1">
      <c r="A85" s="120"/>
      <c r="B85" s="120"/>
      <c r="C85" s="120"/>
      <c r="D85" s="120"/>
      <c r="E85" s="120"/>
      <c r="F85" s="120"/>
      <c r="G85" s="120"/>
      <c r="H85" s="120"/>
      <c r="I85" s="120"/>
      <c r="J85" s="120"/>
    </row>
    <row r="86" spans="1:10" ht="14">
      <c r="A86" s="32" t="s">
        <v>81</v>
      </c>
      <c r="B86" s="113" t="s">
        <v>82</v>
      </c>
      <c r="C86" s="113"/>
      <c r="D86" s="113"/>
      <c r="E86" s="113"/>
      <c r="F86" s="113"/>
      <c r="G86" s="113"/>
      <c r="H86" s="113"/>
      <c r="I86" s="113"/>
      <c r="J86" s="32" t="s">
        <v>37</v>
      </c>
    </row>
    <row r="87" spans="1:10" ht="12.75" customHeight="1">
      <c r="A87" s="12" t="s">
        <v>5</v>
      </c>
      <c r="B87" s="109" t="s">
        <v>83</v>
      </c>
      <c r="C87" s="109"/>
      <c r="D87" s="109"/>
      <c r="E87" s="109"/>
      <c r="F87" s="109"/>
      <c r="G87" s="109"/>
      <c r="H87" s="109"/>
      <c r="I87" s="33">
        <f>12.1%-I36</f>
        <v>9.0749999999999997E-2</v>
      </c>
      <c r="J87" s="16">
        <f>ROUND(($J$30*I87),2)</f>
        <v>174.39</v>
      </c>
    </row>
    <row r="88" spans="1:10" ht="13">
      <c r="A88" s="12" t="s">
        <v>7</v>
      </c>
      <c r="B88" s="104" t="s">
        <v>131</v>
      </c>
      <c r="C88" s="104"/>
      <c r="D88" s="104"/>
      <c r="E88" s="104"/>
      <c r="F88" s="104"/>
      <c r="G88" s="104"/>
      <c r="H88" s="104"/>
      <c r="I88" s="104"/>
      <c r="J88" s="34">
        <f>J84/30*0.1/12</f>
        <v>0.64283611111111105</v>
      </c>
    </row>
    <row r="89" spans="1:10" ht="13">
      <c r="A89" s="12" t="s">
        <v>9</v>
      </c>
      <c r="B89" s="104" t="s">
        <v>84</v>
      </c>
      <c r="C89" s="104"/>
      <c r="D89" s="104"/>
      <c r="E89" s="104"/>
      <c r="F89" s="104"/>
      <c r="G89" s="104"/>
      <c r="H89" s="104"/>
      <c r="I89" s="104"/>
      <c r="J89" s="34">
        <f>J84/30*5/12*1.5%</f>
        <v>0.48212708333333332</v>
      </c>
    </row>
    <row r="90" spans="1:10" ht="13">
      <c r="A90" s="12" t="s">
        <v>12</v>
      </c>
      <c r="B90" s="104" t="s">
        <v>85</v>
      </c>
      <c r="C90" s="104"/>
      <c r="D90" s="104"/>
      <c r="E90" s="104"/>
      <c r="F90" s="104"/>
      <c r="G90" s="104"/>
      <c r="H90" s="104"/>
      <c r="I90" s="104"/>
      <c r="J90" s="13">
        <f>J84/30*15/12*0.78%</f>
        <v>0.75211824999999999</v>
      </c>
    </row>
    <row r="91" spans="1:10" ht="13">
      <c r="A91" s="12" t="s">
        <v>29</v>
      </c>
      <c r="B91" s="104" t="s">
        <v>86</v>
      </c>
      <c r="C91" s="104"/>
      <c r="D91" s="104"/>
      <c r="E91" s="104"/>
      <c r="F91" s="104"/>
      <c r="G91" s="104"/>
      <c r="H91" s="104"/>
      <c r="I91" s="104"/>
      <c r="J91" s="16">
        <f>(J30+J36)/12*4/12*1%</f>
        <v>0.54993055555555548</v>
      </c>
    </row>
    <row r="92" spans="1:10" ht="13">
      <c r="A92" s="35" t="s">
        <v>53</v>
      </c>
      <c r="B92" s="118" t="s">
        <v>87</v>
      </c>
      <c r="C92" s="118"/>
      <c r="D92" s="118"/>
      <c r="E92" s="118"/>
      <c r="F92" s="118"/>
      <c r="G92" s="118"/>
      <c r="H92" s="118"/>
      <c r="I92" s="118"/>
      <c r="J92" s="13">
        <f>J84/30*0.15/12</f>
        <v>0.96425416666666663</v>
      </c>
    </row>
    <row r="93" spans="1:10" ht="13">
      <c r="A93" s="105" t="s">
        <v>40</v>
      </c>
      <c r="B93" s="105"/>
      <c r="C93" s="105"/>
      <c r="D93" s="105"/>
      <c r="E93" s="105"/>
      <c r="F93" s="105"/>
      <c r="G93" s="105"/>
      <c r="H93" s="105"/>
      <c r="I93" s="105"/>
      <c r="J93" s="36">
        <f>SUM(J87:J92)</f>
        <v>177.78126616666665</v>
      </c>
    </row>
    <row r="94" spans="1:10" ht="14.65" customHeight="1">
      <c r="A94" s="12"/>
      <c r="B94" s="104"/>
      <c r="C94" s="104"/>
      <c r="D94" s="104"/>
      <c r="E94" s="104"/>
      <c r="F94" s="104"/>
      <c r="G94" s="104"/>
      <c r="H94" s="104"/>
      <c r="I94" s="104"/>
      <c r="J94" s="13"/>
    </row>
    <row r="95" spans="1:10" ht="13">
      <c r="A95" s="105" t="s">
        <v>40</v>
      </c>
      <c r="B95" s="105"/>
      <c r="C95" s="105"/>
      <c r="D95" s="105"/>
      <c r="E95" s="105"/>
      <c r="F95" s="105"/>
      <c r="G95" s="105"/>
      <c r="H95" s="105"/>
      <c r="I95" s="105"/>
      <c r="J95" s="14">
        <f>SUM(J93:J94)</f>
        <v>177.78126616666665</v>
      </c>
    </row>
    <row r="96" spans="1:10" ht="16.149999999999999" customHeight="1">
      <c r="A96" s="112" t="s">
        <v>88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14">
      <c r="A97" s="63" t="s">
        <v>89</v>
      </c>
      <c r="B97" s="113" t="s">
        <v>90</v>
      </c>
      <c r="C97" s="113"/>
      <c r="D97" s="113"/>
      <c r="E97" s="113"/>
      <c r="F97" s="113"/>
      <c r="G97" s="113"/>
      <c r="H97" s="113"/>
      <c r="I97" s="113"/>
      <c r="J97" s="37" t="s">
        <v>37</v>
      </c>
    </row>
    <row r="98" spans="1:10" ht="13">
      <c r="A98" s="8" t="s">
        <v>5</v>
      </c>
      <c r="B98" s="104" t="s">
        <v>91</v>
      </c>
      <c r="C98" s="104"/>
      <c r="D98" s="104"/>
      <c r="E98" s="104"/>
      <c r="F98" s="104"/>
      <c r="G98" s="104"/>
      <c r="H98" s="104"/>
      <c r="I98" s="104"/>
      <c r="J98" s="16">
        <v>0</v>
      </c>
    </row>
    <row r="99" spans="1:10" ht="13">
      <c r="A99" s="117" t="s">
        <v>40</v>
      </c>
      <c r="B99" s="117"/>
      <c r="C99" s="117"/>
      <c r="D99" s="117"/>
      <c r="E99" s="117"/>
      <c r="F99" s="117"/>
      <c r="G99" s="117"/>
      <c r="H99" s="117"/>
      <c r="I99" s="117"/>
      <c r="J99" s="16">
        <v>0</v>
      </c>
    </row>
    <row r="100" spans="1:10" ht="13">
      <c r="A100" s="12"/>
      <c r="B100" s="104"/>
      <c r="C100" s="104"/>
      <c r="D100" s="104"/>
      <c r="E100" s="104"/>
      <c r="F100" s="104"/>
      <c r="G100" s="104"/>
      <c r="H100" s="104"/>
      <c r="I100" s="104"/>
      <c r="J100" s="13"/>
    </row>
    <row r="101" spans="1:10" ht="13">
      <c r="A101" s="105" t="s">
        <v>40</v>
      </c>
      <c r="B101" s="105"/>
      <c r="C101" s="105"/>
      <c r="D101" s="105"/>
      <c r="E101" s="105"/>
      <c r="F101" s="105"/>
      <c r="G101" s="105"/>
      <c r="H101" s="105"/>
      <c r="I101" s="105"/>
      <c r="J101" s="14">
        <f>SUM(J99:J100)</f>
        <v>0</v>
      </c>
    </row>
    <row r="102" spans="1:10" ht="13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</row>
    <row r="103" spans="1:10" ht="16.149999999999999" customHeight="1">
      <c r="A103" s="112" t="s">
        <v>92</v>
      </c>
      <c r="B103" s="112"/>
      <c r="C103" s="112"/>
      <c r="D103" s="112"/>
      <c r="E103" s="112"/>
      <c r="F103" s="112"/>
      <c r="G103" s="112"/>
      <c r="H103" s="112"/>
      <c r="I103" s="112"/>
      <c r="J103" s="112"/>
    </row>
    <row r="104" spans="1:10" ht="16.149999999999999" customHeight="1">
      <c r="A104" s="64">
        <v>4</v>
      </c>
      <c r="B104" s="115" t="s">
        <v>93</v>
      </c>
      <c r="C104" s="115"/>
      <c r="D104" s="115"/>
      <c r="E104" s="115"/>
      <c r="F104" s="115"/>
      <c r="G104" s="115"/>
      <c r="H104" s="115"/>
      <c r="I104" s="115"/>
      <c r="J104" s="37" t="s">
        <v>37</v>
      </c>
    </row>
    <row r="105" spans="1:10" ht="14.65" customHeight="1">
      <c r="A105" s="1" t="s">
        <v>81</v>
      </c>
      <c r="B105" s="109" t="s">
        <v>94</v>
      </c>
      <c r="C105" s="109"/>
      <c r="D105" s="109"/>
      <c r="E105" s="109"/>
      <c r="F105" s="109"/>
      <c r="G105" s="109"/>
      <c r="H105" s="109"/>
      <c r="I105" s="109"/>
      <c r="J105" s="16">
        <f>J95</f>
        <v>177.78126616666665</v>
      </c>
    </row>
    <row r="106" spans="1:10" ht="14.65" customHeight="1">
      <c r="A106" s="1" t="s">
        <v>95</v>
      </c>
      <c r="B106" s="109" t="s">
        <v>96</v>
      </c>
      <c r="C106" s="109"/>
      <c r="D106" s="109"/>
      <c r="E106" s="109"/>
      <c r="F106" s="109"/>
      <c r="G106" s="109"/>
      <c r="H106" s="109"/>
      <c r="I106" s="109"/>
      <c r="J106" s="16">
        <f>J101</f>
        <v>0</v>
      </c>
    </row>
    <row r="107" spans="1:10" ht="14.65" customHeight="1">
      <c r="A107" s="116" t="s">
        <v>40</v>
      </c>
      <c r="B107" s="116"/>
      <c r="C107" s="116"/>
      <c r="D107" s="116"/>
      <c r="E107" s="116"/>
      <c r="F107" s="116"/>
      <c r="G107" s="116"/>
      <c r="H107" s="116"/>
      <c r="I107" s="116"/>
      <c r="J107" s="14">
        <f>SUM(J105+J106)</f>
        <v>177.78126616666665</v>
      </c>
    </row>
    <row r="108" spans="1:10" ht="13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</row>
    <row r="109" spans="1:10" ht="16.149999999999999" customHeight="1">
      <c r="A109" s="112" t="s">
        <v>97</v>
      </c>
      <c r="B109" s="112"/>
      <c r="C109" s="112"/>
      <c r="D109" s="112"/>
      <c r="E109" s="112"/>
      <c r="F109" s="112"/>
      <c r="G109" s="112"/>
      <c r="H109" s="112"/>
      <c r="I109" s="112"/>
      <c r="J109" s="112"/>
    </row>
    <row r="110" spans="1:10" ht="16.149999999999999" customHeight="1">
      <c r="A110" s="63">
        <v>5</v>
      </c>
      <c r="B110" s="113" t="s">
        <v>98</v>
      </c>
      <c r="C110" s="113"/>
      <c r="D110" s="113"/>
      <c r="E110" s="113"/>
      <c r="F110" s="113"/>
      <c r="G110" s="113"/>
      <c r="H110" s="113"/>
      <c r="I110" s="113"/>
      <c r="J110" s="63" t="s">
        <v>37</v>
      </c>
    </row>
    <row r="111" spans="1:10" ht="13">
      <c r="A111" s="8" t="s">
        <v>5</v>
      </c>
      <c r="B111" s="104" t="s">
        <v>185</v>
      </c>
      <c r="C111" s="104"/>
      <c r="D111" s="104"/>
      <c r="E111" s="104"/>
      <c r="F111" s="104"/>
      <c r="G111" s="104"/>
      <c r="H111" s="104"/>
      <c r="I111" s="104"/>
      <c r="J111" s="16">
        <f>Descritivo!E48</f>
        <v>91.369065656565652</v>
      </c>
    </row>
    <row r="112" spans="1:10" ht="13">
      <c r="A112" s="8" t="s">
        <v>7</v>
      </c>
      <c r="B112" s="104" t="s">
        <v>99</v>
      </c>
      <c r="C112" s="104"/>
      <c r="D112" s="104"/>
      <c r="E112" s="104"/>
      <c r="F112" s="104"/>
      <c r="G112" s="104"/>
      <c r="H112" s="104"/>
      <c r="I112" s="104"/>
      <c r="J112" s="27">
        <f>Descritivo!D93</f>
        <v>116.16919191919192</v>
      </c>
    </row>
    <row r="113" spans="1:10" ht="13">
      <c r="A113" s="8" t="s">
        <v>9</v>
      </c>
      <c r="B113" s="104" t="s">
        <v>139</v>
      </c>
      <c r="C113" s="104"/>
      <c r="D113" s="104"/>
      <c r="E113" s="104"/>
      <c r="F113" s="104"/>
      <c r="G113" s="104"/>
      <c r="H113" s="104"/>
      <c r="I113" s="104"/>
      <c r="J113" s="27">
        <f>Descritivo!C101</f>
        <v>36.363636363636367</v>
      </c>
    </row>
    <row r="114" spans="1:10" ht="13">
      <c r="A114" s="8" t="s">
        <v>12</v>
      </c>
      <c r="B114" s="104" t="s">
        <v>100</v>
      </c>
      <c r="C114" s="104"/>
      <c r="D114" s="104"/>
      <c r="E114" s="104"/>
      <c r="F114" s="104"/>
      <c r="G114" s="104"/>
      <c r="H114" s="104"/>
      <c r="I114" s="104"/>
      <c r="J114" s="27"/>
    </row>
    <row r="115" spans="1:10" ht="13">
      <c r="A115" s="105" t="s">
        <v>32</v>
      </c>
      <c r="B115" s="105"/>
      <c r="C115" s="105"/>
      <c r="D115" s="105"/>
      <c r="E115" s="105"/>
      <c r="F115" s="105"/>
      <c r="G115" s="105"/>
      <c r="H115" s="105"/>
      <c r="I115" s="105"/>
      <c r="J115" s="38">
        <f>SUM(J111:J114)</f>
        <v>243.90189393939394</v>
      </c>
    </row>
    <row r="116" spans="1:10" ht="13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</row>
    <row r="117" spans="1:10" ht="16.149999999999999" customHeight="1">
      <c r="A117" s="112" t="s">
        <v>101</v>
      </c>
      <c r="B117" s="112"/>
      <c r="C117" s="112"/>
      <c r="D117" s="112"/>
      <c r="E117" s="112"/>
      <c r="F117" s="112"/>
      <c r="G117" s="112"/>
      <c r="H117" s="112"/>
      <c r="I117" s="112"/>
      <c r="J117" s="112"/>
    </row>
    <row r="118" spans="1:10" ht="28">
      <c r="A118" s="63">
        <v>6</v>
      </c>
      <c r="B118" s="113" t="s">
        <v>102</v>
      </c>
      <c r="C118" s="113"/>
      <c r="D118" s="113"/>
      <c r="E118" s="113"/>
      <c r="F118" s="113"/>
      <c r="G118" s="113"/>
      <c r="H118" s="113"/>
      <c r="I118" s="64" t="s">
        <v>44</v>
      </c>
      <c r="J118" s="39" t="s">
        <v>103</v>
      </c>
    </row>
    <row r="119" spans="1:10" ht="12.75" customHeight="1">
      <c r="A119" s="111" t="s">
        <v>104</v>
      </c>
      <c r="B119" s="111"/>
      <c r="C119" s="111"/>
      <c r="D119" s="111"/>
      <c r="E119" s="111"/>
      <c r="F119" s="111"/>
      <c r="G119" s="111"/>
      <c r="H119" s="111"/>
      <c r="I119" s="40" t="s">
        <v>64</v>
      </c>
      <c r="J119" s="41">
        <f>SUM(J30+J71+J81+J107+J115)</f>
        <v>3950.7614017727269</v>
      </c>
    </row>
    <row r="120" spans="1:10" ht="15.5">
      <c r="A120" s="42" t="s">
        <v>5</v>
      </c>
      <c r="B120" s="110" t="s">
        <v>105</v>
      </c>
      <c r="C120" s="110"/>
      <c r="D120" s="110"/>
      <c r="E120" s="110"/>
      <c r="F120" s="110"/>
      <c r="G120" s="110"/>
      <c r="H120" s="110"/>
      <c r="I120" s="15">
        <v>0.1091</v>
      </c>
      <c r="J120" s="16">
        <f>ROUND(I120*J119,2)</f>
        <v>431.03</v>
      </c>
    </row>
    <row r="121" spans="1:10" ht="12.75" customHeight="1">
      <c r="A121" s="111" t="s">
        <v>106</v>
      </c>
      <c r="B121" s="111"/>
      <c r="C121" s="111"/>
      <c r="D121" s="111"/>
      <c r="E121" s="111"/>
      <c r="F121" s="111"/>
      <c r="G121" s="111"/>
      <c r="H121" s="111"/>
      <c r="I121" s="43" t="s">
        <v>64</v>
      </c>
      <c r="J121" s="41">
        <f>SUM(J30+J71+J81+J107+J115+J120)</f>
        <v>4381.7914017727271</v>
      </c>
    </row>
    <row r="122" spans="1:10" ht="15.5">
      <c r="A122" s="42" t="s">
        <v>7</v>
      </c>
      <c r="B122" s="110" t="s">
        <v>107</v>
      </c>
      <c r="C122" s="110"/>
      <c r="D122" s="110"/>
      <c r="E122" s="110"/>
      <c r="F122" s="110"/>
      <c r="G122" s="110"/>
      <c r="H122" s="110"/>
      <c r="I122" s="20">
        <v>0.15109700000000001</v>
      </c>
      <c r="J122" s="16">
        <f>ROUND(I122*J121,2)</f>
        <v>662.08</v>
      </c>
    </row>
    <row r="123" spans="1:10" ht="12.75" customHeight="1">
      <c r="A123" s="111" t="s">
        <v>108</v>
      </c>
      <c r="B123" s="111"/>
      <c r="C123" s="111"/>
      <c r="D123" s="111"/>
      <c r="E123" s="111"/>
      <c r="F123" s="111"/>
      <c r="G123" s="111"/>
      <c r="H123" s="111"/>
      <c r="I123" s="43" t="s">
        <v>64</v>
      </c>
      <c r="J123" s="41">
        <f>SUM(J30+J71+J81+J107+J115+J120+J122)</f>
        <v>5043.871401772727</v>
      </c>
    </row>
    <row r="124" spans="1:10" ht="15.5">
      <c r="A124" s="42" t="s">
        <v>9</v>
      </c>
      <c r="B124" s="110" t="s">
        <v>109</v>
      </c>
      <c r="C124" s="110"/>
      <c r="D124" s="110"/>
      <c r="E124" s="110"/>
      <c r="F124" s="110"/>
      <c r="G124" s="110"/>
      <c r="H124" s="110"/>
      <c r="I124" s="9" t="s">
        <v>64</v>
      </c>
      <c r="J124" s="51" t="s">
        <v>64</v>
      </c>
    </row>
    <row r="125" spans="1:10" ht="13">
      <c r="A125" s="8"/>
      <c r="B125" s="104" t="s">
        <v>110</v>
      </c>
      <c r="C125" s="104"/>
      <c r="D125" s="104"/>
      <c r="E125" s="104"/>
      <c r="F125" s="104"/>
      <c r="G125" s="104"/>
      <c r="H125" s="104"/>
      <c r="I125" s="9" t="s">
        <v>64</v>
      </c>
      <c r="J125" s="51" t="s">
        <v>64</v>
      </c>
    </row>
    <row r="126" spans="1:10" ht="13">
      <c r="A126" s="8"/>
      <c r="B126" s="104" t="s">
        <v>111</v>
      </c>
      <c r="C126" s="104"/>
      <c r="D126" s="104"/>
      <c r="E126" s="104"/>
      <c r="F126" s="104"/>
      <c r="G126" s="104"/>
      <c r="H126" s="104"/>
      <c r="I126" s="44">
        <v>0.03</v>
      </c>
      <c r="J126" s="16">
        <f>ROUND(($J$123/(1-$I$135))*I126,2)</f>
        <v>165.64</v>
      </c>
    </row>
    <row r="127" spans="1:10" ht="13">
      <c r="A127" s="8"/>
      <c r="B127" s="104" t="s">
        <v>112</v>
      </c>
      <c r="C127" s="104"/>
      <c r="D127" s="104"/>
      <c r="E127" s="104"/>
      <c r="F127" s="104"/>
      <c r="G127" s="104"/>
      <c r="H127" s="104"/>
      <c r="I127" s="44">
        <v>6.4999999999999997E-3</v>
      </c>
      <c r="J127" s="16">
        <f>ROUND(($J$123/(1-$I$135))*I127,2)</f>
        <v>35.89</v>
      </c>
    </row>
    <row r="128" spans="1:10" ht="27.65" customHeight="1">
      <c r="A128" s="8"/>
      <c r="B128" s="109" t="s">
        <v>113</v>
      </c>
      <c r="C128" s="109"/>
      <c r="D128" s="109"/>
      <c r="E128" s="109"/>
      <c r="F128" s="109"/>
      <c r="G128" s="109"/>
      <c r="H128" s="109"/>
      <c r="I128" s="45" t="s">
        <v>64</v>
      </c>
      <c r="J128" s="51" t="s">
        <v>64</v>
      </c>
    </row>
    <row r="129" spans="1:10" ht="27.65" customHeight="1">
      <c r="A129" s="8"/>
      <c r="B129" s="109" t="s">
        <v>114</v>
      </c>
      <c r="C129" s="109"/>
      <c r="D129" s="109"/>
      <c r="E129" s="109"/>
      <c r="F129" s="109"/>
      <c r="G129" s="109"/>
      <c r="H129" s="109"/>
      <c r="I129" s="45" t="s">
        <v>64</v>
      </c>
      <c r="J129" s="51" t="s">
        <v>64</v>
      </c>
    </row>
    <row r="130" spans="1:10" ht="13">
      <c r="A130" s="8"/>
      <c r="B130" s="104" t="s">
        <v>115</v>
      </c>
      <c r="C130" s="104"/>
      <c r="D130" s="104"/>
      <c r="E130" s="104"/>
      <c r="F130" s="104"/>
      <c r="G130" s="104"/>
      <c r="H130" s="104"/>
      <c r="I130" s="45" t="s">
        <v>64</v>
      </c>
      <c r="J130" s="51" t="s">
        <v>64</v>
      </c>
    </row>
    <row r="131" spans="1:10" ht="13">
      <c r="A131" s="8"/>
      <c r="B131" s="104" t="s">
        <v>116</v>
      </c>
      <c r="C131" s="104"/>
      <c r="D131" s="104"/>
      <c r="E131" s="104"/>
      <c r="F131" s="104"/>
      <c r="G131" s="104"/>
      <c r="H131" s="104"/>
      <c r="I131" s="45" t="s">
        <v>64</v>
      </c>
      <c r="J131" s="51" t="s">
        <v>64</v>
      </c>
    </row>
    <row r="132" spans="1:10" ht="13">
      <c r="A132" s="8"/>
      <c r="B132" s="104" t="s">
        <v>134</v>
      </c>
      <c r="C132" s="104"/>
      <c r="D132" s="104"/>
      <c r="E132" s="104"/>
      <c r="F132" s="104"/>
      <c r="G132" s="104"/>
      <c r="H132" s="104"/>
      <c r="I132" s="44">
        <v>0.05</v>
      </c>
      <c r="J132" s="16">
        <f>ROUND(($J$123/(1-$I$135))*I132,2)</f>
        <v>276.07</v>
      </c>
    </row>
    <row r="133" spans="1:10" ht="13">
      <c r="A133" s="105" t="s">
        <v>40</v>
      </c>
      <c r="B133" s="105"/>
      <c r="C133" s="105"/>
      <c r="D133" s="105"/>
      <c r="E133" s="105"/>
      <c r="F133" s="105"/>
      <c r="G133" s="105"/>
      <c r="H133" s="105"/>
      <c r="I133" s="105"/>
      <c r="J133" s="14">
        <f>SUM(J120+J122+J126+J127+J132)</f>
        <v>1570.71</v>
      </c>
    </row>
    <row r="134" spans="1:10" ht="13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</row>
    <row r="135" spans="1:10" ht="14.65" customHeight="1">
      <c r="A135" s="106" t="s">
        <v>117</v>
      </c>
      <c r="B135" s="106"/>
      <c r="C135" s="106"/>
      <c r="D135" s="106"/>
      <c r="E135" s="106"/>
      <c r="F135" s="106"/>
      <c r="G135" s="106"/>
      <c r="H135" s="106"/>
      <c r="I135" s="46">
        <f>SUM(I126:I132)</f>
        <v>8.6499999999999994E-2</v>
      </c>
      <c r="J135" s="41">
        <f>SUM(J126:J132)</f>
        <v>477.59999999999997</v>
      </c>
    </row>
    <row r="136" spans="1:10">
      <c r="A136" s="107" t="s">
        <v>118</v>
      </c>
      <c r="B136" s="107"/>
      <c r="C136" s="107"/>
      <c r="D136" s="108" t="s">
        <v>119</v>
      </c>
      <c r="E136" s="108"/>
      <c r="F136" s="108"/>
      <c r="G136" s="108"/>
      <c r="H136" s="108"/>
      <c r="I136" s="108"/>
      <c r="J136" s="108"/>
    </row>
    <row r="137" spans="1:10">
      <c r="A137" s="107"/>
      <c r="B137" s="107"/>
      <c r="C137" s="107"/>
      <c r="D137" s="108" t="s">
        <v>120</v>
      </c>
      <c r="E137" s="108"/>
      <c r="F137" s="108"/>
      <c r="G137" s="108"/>
      <c r="H137" s="108"/>
      <c r="I137" s="108"/>
      <c r="J137" s="108"/>
    </row>
    <row r="138" spans="1:10">
      <c r="A138" s="107"/>
      <c r="B138" s="107"/>
      <c r="C138" s="107"/>
      <c r="D138" s="108" t="s">
        <v>121</v>
      </c>
      <c r="E138" s="108"/>
      <c r="F138" s="108"/>
      <c r="G138" s="108"/>
      <c r="H138" s="108"/>
      <c r="I138" s="108"/>
      <c r="J138" s="108"/>
    </row>
    <row r="139" spans="1:10" ht="13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</row>
    <row r="140" spans="1:10" ht="46" customHeight="1">
      <c r="A140" s="102" t="s">
        <v>122</v>
      </c>
      <c r="B140" s="102"/>
      <c r="C140" s="102"/>
      <c r="D140" s="102"/>
      <c r="E140" s="102"/>
      <c r="F140" s="102"/>
      <c r="G140" s="102"/>
      <c r="H140" s="102"/>
      <c r="I140" s="102"/>
      <c r="J140" s="102"/>
    </row>
    <row r="141" spans="1:10" ht="14.65" customHeight="1">
      <c r="A141" s="103" t="s">
        <v>123</v>
      </c>
      <c r="B141" s="103"/>
      <c r="C141" s="103"/>
      <c r="D141" s="103"/>
      <c r="E141" s="103"/>
      <c r="F141" s="103"/>
      <c r="G141" s="103"/>
      <c r="H141" s="103"/>
      <c r="I141" s="103"/>
      <c r="J141" s="47" t="s">
        <v>37</v>
      </c>
    </row>
    <row r="142" spans="1:10" ht="14.65" customHeight="1">
      <c r="A142" s="48" t="s">
        <v>5</v>
      </c>
      <c r="B142" s="99" t="s">
        <v>124</v>
      </c>
      <c r="C142" s="99"/>
      <c r="D142" s="99"/>
      <c r="E142" s="99"/>
      <c r="F142" s="99"/>
      <c r="G142" s="99"/>
      <c r="H142" s="99"/>
      <c r="I142" s="99"/>
      <c r="J142" s="27">
        <f>J30</f>
        <v>1921.62</v>
      </c>
    </row>
    <row r="143" spans="1:10" ht="14.65" customHeight="1">
      <c r="A143" s="48" t="s">
        <v>7</v>
      </c>
      <c r="B143" s="99" t="s">
        <v>33</v>
      </c>
      <c r="C143" s="99"/>
      <c r="D143" s="99"/>
      <c r="E143" s="99"/>
      <c r="F143" s="99"/>
      <c r="G143" s="99"/>
      <c r="H143" s="99"/>
      <c r="I143" s="99"/>
      <c r="J143" s="27">
        <f>J71</f>
        <v>1526.0099999999998</v>
      </c>
    </row>
    <row r="144" spans="1:10" ht="14.65" customHeight="1">
      <c r="A144" s="48" t="s">
        <v>9</v>
      </c>
      <c r="B144" s="99" t="s">
        <v>125</v>
      </c>
      <c r="C144" s="99"/>
      <c r="D144" s="99"/>
      <c r="E144" s="99"/>
      <c r="F144" s="99"/>
      <c r="G144" s="99"/>
      <c r="H144" s="99"/>
      <c r="I144" s="99"/>
      <c r="J144" s="27">
        <f>J81</f>
        <v>81.448241666666661</v>
      </c>
    </row>
    <row r="145" spans="1:12" ht="14.65" customHeight="1">
      <c r="A145" s="48" t="s">
        <v>12</v>
      </c>
      <c r="B145" s="99" t="s">
        <v>126</v>
      </c>
      <c r="C145" s="99"/>
      <c r="D145" s="99"/>
      <c r="E145" s="99"/>
      <c r="F145" s="99"/>
      <c r="G145" s="99"/>
      <c r="H145" s="99"/>
      <c r="I145" s="99"/>
      <c r="J145" s="27">
        <f>J107</f>
        <v>177.78126616666665</v>
      </c>
    </row>
    <row r="146" spans="1:12" ht="14.65" customHeight="1">
      <c r="A146" s="48" t="s">
        <v>29</v>
      </c>
      <c r="B146" s="99" t="s">
        <v>127</v>
      </c>
      <c r="C146" s="99"/>
      <c r="D146" s="99"/>
      <c r="E146" s="99"/>
      <c r="F146" s="99"/>
      <c r="G146" s="99"/>
      <c r="H146" s="99"/>
      <c r="I146" s="99"/>
      <c r="J146" s="27">
        <f>J115</f>
        <v>243.90189393939394</v>
      </c>
    </row>
    <row r="147" spans="1:12" ht="14.65" customHeight="1">
      <c r="A147" s="100" t="s">
        <v>128</v>
      </c>
      <c r="B147" s="100"/>
      <c r="C147" s="100"/>
      <c r="D147" s="100"/>
      <c r="E147" s="100"/>
      <c r="F147" s="100"/>
      <c r="G147" s="100"/>
      <c r="H147" s="100"/>
      <c r="I147" s="100"/>
      <c r="J147" s="38">
        <f>SUM(J142:J146)</f>
        <v>3950.7614017727269</v>
      </c>
    </row>
    <row r="148" spans="1:12" ht="14.65" customHeight="1">
      <c r="A148" s="48" t="s">
        <v>53</v>
      </c>
      <c r="B148" s="99" t="s">
        <v>129</v>
      </c>
      <c r="C148" s="99"/>
      <c r="D148" s="99"/>
      <c r="E148" s="99"/>
      <c r="F148" s="99"/>
      <c r="G148" s="99"/>
      <c r="H148" s="99"/>
      <c r="I148" s="99"/>
      <c r="J148" s="27">
        <f>J133</f>
        <v>1570.71</v>
      </c>
    </row>
    <row r="149" spans="1:12" ht="14.65" customHeight="1">
      <c r="A149" s="100" t="s">
        <v>130</v>
      </c>
      <c r="B149" s="100"/>
      <c r="C149" s="100"/>
      <c r="D149" s="100"/>
      <c r="E149" s="100"/>
      <c r="F149" s="100"/>
      <c r="G149" s="100"/>
      <c r="H149" s="100"/>
      <c r="I149" s="100"/>
      <c r="J149" s="38">
        <f>SUM(J147:J148)</f>
        <v>5521.4714017727274</v>
      </c>
    </row>
    <row r="150" spans="1:12" ht="27.5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A1:J1"/>
    <mergeCell ref="A2:J2"/>
    <mergeCell ref="A3:G3"/>
    <mergeCell ref="H3:J3"/>
    <mergeCell ref="A4:G4"/>
    <mergeCell ref="H4:J4"/>
    <mergeCell ref="B61:H61"/>
    <mergeCell ref="B62:H62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60:H60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1E0EA-60AF-4C1D-AE62-FBA881528893}">
  <sheetPr>
    <tabColor rgb="FF0070C0"/>
  </sheetPr>
  <dimension ref="A1:Q172"/>
  <sheetViews>
    <sheetView showGridLines="0" view="pageBreakPreview" topLeftCell="A52" zoomScaleNormal="100" zoomScaleSheetLayoutView="100" zoomScalePageLayoutView="95" workbookViewId="0">
      <selection activeCell="J64" sqref="J64"/>
    </sheetView>
  </sheetViews>
  <sheetFormatPr defaultRowHeight="12.5"/>
  <cols>
    <col min="1" max="9" width="8.7265625" customWidth="1"/>
    <col min="10" max="10" width="15.453125" customWidth="1"/>
    <col min="11" max="11" width="17.453125" customWidth="1"/>
    <col min="12" max="12" width="17" customWidth="1"/>
    <col min="13" max="16" width="8.7265625" customWidth="1"/>
    <col min="17" max="17" width="10.81640625" customWidth="1"/>
    <col min="18" max="1025" width="8.7265625" customWidth="1"/>
  </cols>
  <sheetData>
    <row r="1" spans="1:12" ht="24.25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2" ht="46.5" customHeight="1">
      <c r="A2" s="136" t="s">
        <v>297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2" ht="14.65" customHeight="1">
      <c r="A3" s="109" t="s">
        <v>1</v>
      </c>
      <c r="B3" s="109"/>
      <c r="C3" s="109"/>
      <c r="D3" s="109"/>
      <c r="E3" s="109"/>
      <c r="F3" s="109"/>
      <c r="G3" s="109"/>
      <c r="H3" s="138" t="s">
        <v>145</v>
      </c>
      <c r="I3" s="139"/>
      <c r="J3" s="139"/>
    </row>
    <row r="4" spans="1:12" ht="14.65" customHeight="1">
      <c r="A4" s="109" t="s">
        <v>2</v>
      </c>
      <c r="B4" s="109"/>
      <c r="C4" s="109"/>
      <c r="D4" s="109"/>
      <c r="E4" s="109"/>
      <c r="F4" s="109"/>
      <c r="G4" s="109"/>
      <c r="H4" s="140" t="s">
        <v>144</v>
      </c>
      <c r="I4" s="139"/>
      <c r="J4" s="139"/>
    </row>
    <row r="5" spans="1:12" ht="14.65" customHeight="1">
      <c r="A5" s="109" t="s">
        <v>3</v>
      </c>
      <c r="B5" s="109"/>
      <c r="C5" s="109"/>
      <c r="D5" s="109"/>
      <c r="E5" s="109"/>
      <c r="F5" s="109"/>
      <c r="G5" s="109"/>
      <c r="H5" s="109"/>
      <c r="I5" s="109"/>
      <c r="J5" s="109"/>
    </row>
    <row r="6" spans="1:12" ht="16.149999999999999" customHeight="1">
      <c r="A6" s="142" t="s">
        <v>4</v>
      </c>
      <c r="B6" s="142"/>
      <c r="C6" s="142"/>
      <c r="D6" s="142"/>
      <c r="E6" s="142"/>
      <c r="F6" s="142"/>
      <c r="G6" s="142"/>
      <c r="H6" s="142"/>
      <c r="I6" s="142"/>
      <c r="J6" s="142"/>
    </row>
    <row r="7" spans="1:12" ht="14.65" customHeight="1">
      <c r="A7" s="1" t="s">
        <v>5</v>
      </c>
      <c r="B7" s="109" t="s">
        <v>6</v>
      </c>
      <c r="C7" s="109"/>
      <c r="D7" s="109"/>
      <c r="E7" s="109"/>
      <c r="F7" s="109"/>
      <c r="G7" s="109"/>
      <c r="H7" s="141">
        <v>44029</v>
      </c>
      <c r="I7" s="141"/>
      <c r="J7" s="141"/>
    </row>
    <row r="8" spans="1:12" ht="14.65" customHeight="1">
      <c r="A8" s="1" t="s">
        <v>7</v>
      </c>
      <c r="B8" s="109" t="s">
        <v>8</v>
      </c>
      <c r="C8" s="109"/>
      <c r="D8" s="109"/>
      <c r="E8" s="109"/>
      <c r="F8" s="109"/>
      <c r="G8" s="109"/>
      <c r="H8" s="141" t="s">
        <v>140</v>
      </c>
      <c r="I8" s="141"/>
      <c r="J8" s="141"/>
    </row>
    <row r="9" spans="1:12" ht="39" customHeight="1">
      <c r="A9" s="1" t="s">
        <v>9</v>
      </c>
      <c r="B9" s="109" t="s">
        <v>10</v>
      </c>
      <c r="C9" s="109"/>
      <c r="D9" s="109"/>
      <c r="E9" s="109"/>
      <c r="F9" s="109"/>
      <c r="G9" s="109"/>
      <c r="H9" s="141" t="s">
        <v>11</v>
      </c>
      <c r="I9" s="141"/>
      <c r="J9" s="141"/>
      <c r="L9" s="55"/>
    </row>
    <row r="10" spans="1:12" ht="14.65" customHeight="1">
      <c r="A10" s="1" t="s">
        <v>12</v>
      </c>
      <c r="B10" s="109" t="s">
        <v>13</v>
      </c>
      <c r="C10" s="109"/>
      <c r="D10" s="109"/>
      <c r="E10" s="109"/>
      <c r="F10" s="109"/>
      <c r="G10" s="109"/>
      <c r="H10" s="139">
        <v>12</v>
      </c>
      <c r="I10" s="139"/>
      <c r="J10" s="139"/>
    </row>
    <row r="11" spans="1:12" ht="13">
      <c r="A11" s="101"/>
      <c r="B11" s="101"/>
      <c r="C11" s="101"/>
      <c r="D11" s="101"/>
      <c r="E11" s="101"/>
      <c r="F11" s="101"/>
      <c r="G11" s="101"/>
      <c r="H11" s="101"/>
      <c r="I11" s="101"/>
      <c r="J11" s="101"/>
    </row>
    <row r="12" spans="1:12" ht="48.75" customHeight="1">
      <c r="A12" s="132" t="s">
        <v>14</v>
      </c>
      <c r="B12" s="132"/>
      <c r="C12" s="132"/>
      <c r="D12" s="132"/>
      <c r="E12" s="132"/>
      <c r="F12" s="132"/>
      <c r="G12" s="132"/>
      <c r="H12" s="132"/>
      <c r="I12" s="132"/>
      <c r="J12" s="132"/>
      <c r="L12" s="55"/>
    </row>
    <row r="13" spans="1:12" ht="13">
      <c r="A13" s="101"/>
      <c r="B13" s="101"/>
      <c r="C13" s="101"/>
      <c r="D13" s="101"/>
      <c r="E13" s="101"/>
      <c r="F13" s="101"/>
      <c r="G13" s="101"/>
      <c r="H13" s="101"/>
      <c r="I13" s="101"/>
      <c r="J13" s="101"/>
    </row>
    <row r="14" spans="1:12" ht="16.149999999999999" customHeight="1">
      <c r="A14" s="115" t="s">
        <v>15</v>
      </c>
      <c r="B14" s="115"/>
      <c r="C14" s="115"/>
      <c r="D14" s="115"/>
      <c r="E14" s="115"/>
      <c r="F14" s="115"/>
      <c r="G14" s="115"/>
      <c r="H14" s="115"/>
      <c r="I14" s="115"/>
      <c r="J14" s="115"/>
      <c r="L14" s="55"/>
    </row>
    <row r="15" spans="1:12" ht="16.149999999999999" customHeight="1">
      <c r="A15" s="1">
        <v>1</v>
      </c>
      <c r="B15" s="109" t="s">
        <v>16</v>
      </c>
      <c r="C15" s="109"/>
      <c r="D15" s="109"/>
      <c r="E15" s="109"/>
      <c r="F15" s="109"/>
      <c r="G15" s="109"/>
      <c r="H15" s="134" t="s">
        <v>17</v>
      </c>
      <c r="I15" s="134"/>
      <c r="J15" s="134"/>
    </row>
    <row r="16" spans="1:12" ht="16.149999999999999" customHeight="1">
      <c r="A16" s="1">
        <v>2</v>
      </c>
      <c r="B16" s="109" t="s">
        <v>18</v>
      </c>
      <c r="C16" s="109"/>
      <c r="D16" s="109"/>
      <c r="E16" s="109"/>
      <c r="F16" s="109"/>
      <c r="G16" s="109"/>
      <c r="H16" s="134">
        <v>9511</v>
      </c>
      <c r="I16" s="134"/>
      <c r="J16" s="134"/>
    </row>
    <row r="17" spans="1:17" ht="16.149999999999999" customHeight="1">
      <c r="A17" s="1">
        <v>3</v>
      </c>
      <c r="B17" s="109" t="s">
        <v>19</v>
      </c>
      <c r="C17" s="109"/>
      <c r="D17" s="109"/>
      <c r="E17" s="109"/>
      <c r="F17" s="109"/>
      <c r="G17" s="109"/>
      <c r="H17" s="143">
        <v>1601.35</v>
      </c>
      <c r="I17" s="143"/>
      <c r="J17" s="143"/>
    </row>
    <row r="18" spans="1:17" ht="16.149999999999999" customHeight="1">
      <c r="A18" s="1">
        <v>4</v>
      </c>
      <c r="B18" s="109" t="s">
        <v>20</v>
      </c>
      <c r="C18" s="109"/>
      <c r="D18" s="109"/>
      <c r="E18" s="109"/>
      <c r="F18" s="109"/>
      <c r="G18" s="109"/>
      <c r="H18" s="134" t="s">
        <v>177</v>
      </c>
      <c r="I18" s="134"/>
      <c r="J18" s="134"/>
    </row>
    <row r="19" spans="1:17" ht="16.149999999999999" customHeight="1">
      <c r="A19" s="1">
        <v>5</v>
      </c>
      <c r="B19" s="109" t="s">
        <v>21</v>
      </c>
      <c r="C19" s="109"/>
      <c r="D19" s="109"/>
      <c r="E19" s="109"/>
      <c r="F19" s="109"/>
      <c r="G19" s="109"/>
      <c r="H19" s="133" t="s">
        <v>141</v>
      </c>
      <c r="I19" s="133"/>
      <c r="J19" s="133"/>
    </row>
    <row r="20" spans="1:17" ht="16.149999999999999" customHeight="1">
      <c r="A20" s="1">
        <v>5</v>
      </c>
      <c r="B20" s="109" t="s">
        <v>133</v>
      </c>
      <c r="C20" s="109"/>
      <c r="D20" s="109"/>
      <c r="E20" s="109"/>
      <c r="F20" s="109"/>
      <c r="G20" s="109"/>
      <c r="H20" s="131">
        <v>40</v>
      </c>
      <c r="I20" s="131"/>
      <c r="J20" s="131"/>
    </row>
    <row r="21" spans="1:17" ht="13">
      <c r="A21" s="101"/>
      <c r="B21" s="101"/>
      <c r="C21" s="101"/>
      <c r="D21" s="101"/>
      <c r="E21" s="101"/>
      <c r="F21" s="101"/>
      <c r="G21" s="101"/>
      <c r="H21" s="101"/>
      <c r="I21" s="101"/>
      <c r="J21" s="101"/>
    </row>
    <row r="22" spans="1:17" ht="20.65" customHeight="1">
      <c r="A22" s="132" t="s">
        <v>22</v>
      </c>
      <c r="B22" s="132"/>
      <c r="C22" s="132"/>
      <c r="D22" s="132"/>
      <c r="E22" s="132"/>
      <c r="F22" s="132"/>
      <c r="G22" s="132"/>
      <c r="H22" s="132"/>
      <c r="I22" s="132"/>
      <c r="J22" s="132"/>
    </row>
    <row r="23" spans="1:17" ht="30.4" customHeight="1">
      <c r="A23" s="96">
        <v>1</v>
      </c>
      <c r="B23" s="115" t="s">
        <v>23</v>
      </c>
      <c r="C23" s="115"/>
      <c r="D23" s="115"/>
      <c r="E23" s="115"/>
      <c r="F23" s="115"/>
      <c r="G23" s="115"/>
      <c r="H23" s="115" t="s">
        <v>24</v>
      </c>
      <c r="I23" s="115"/>
      <c r="J23" s="96" t="s">
        <v>25</v>
      </c>
    </row>
    <row r="24" spans="1:17" ht="12.75" customHeight="1">
      <c r="A24" s="1" t="s">
        <v>5</v>
      </c>
      <c r="B24" s="109" t="s">
        <v>143</v>
      </c>
      <c r="C24" s="109"/>
      <c r="D24" s="109"/>
      <c r="E24" s="109"/>
      <c r="F24" s="109"/>
      <c r="G24" s="109"/>
      <c r="H24" s="109"/>
      <c r="I24" s="109"/>
      <c r="J24" s="2">
        <f>ROUND(H17/44*H20,2)</f>
        <v>1455.77</v>
      </c>
    </row>
    <row r="25" spans="1:17" ht="12.75" customHeight="1">
      <c r="A25" s="95" t="s">
        <v>7</v>
      </c>
      <c r="B25" s="109" t="s">
        <v>26</v>
      </c>
      <c r="C25" s="109"/>
      <c r="D25" s="109"/>
      <c r="E25" s="109"/>
      <c r="F25" s="109"/>
      <c r="G25" s="109"/>
      <c r="H25" s="109"/>
      <c r="I25" s="3"/>
      <c r="J25" s="2"/>
      <c r="K25" s="57"/>
    </row>
    <row r="26" spans="1:17" ht="12.75" customHeight="1">
      <c r="A26" s="95" t="s">
        <v>9</v>
      </c>
      <c r="B26" s="109" t="s">
        <v>27</v>
      </c>
      <c r="C26" s="109"/>
      <c r="D26" s="109"/>
      <c r="E26" s="109"/>
      <c r="F26" s="109"/>
      <c r="G26" s="109"/>
      <c r="H26" s="109"/>
      <c r="I26" s="109"/>
      <c r="J26" s="2"/>
    </row>
    <row r="27" spans="1:17" ht="12.75" customHeight="1">
      <c r="A27" s="95" t="s">
        <v>12</v>
      </c>
      <c r="B27" s="109" t="s">
        <v>28</v>
      </c>
      <c r="C27" s="109"/>
      <c r="D27" s="109"/>
      <c r="E27" s="109"/>
      <c r="F27" s="109"/>
      <c r="G27" s="109"/>
      <c r="H27" s="109"/>
      <c r="I27" s="109"/>
      <c r="J27" s="2"/>
    </row>
    <row r="28" spans="1:17" ht="12.75" customHeight="1">
      <c r="A28" s="95" t="s">
        <v>29</v>
      </c>
      <c r="B28" s="109" t="s">
        <v>30</v>
      </c>
      <c r="C28" s="109"/>
      <c r="D28" s="109"/>
      <c r="E28" s="109"/>
      <c r="F28" s="109"/>
      <c r="G28" s="109"/>
      <c r="H28" s="109"/>
      <c r="I28" s="109"/>
      <c r="J28" s="2"/>
      <c r="Q28" s="54"/>
    </row>
    <row r="29" spans="1:17" ht="12.75" customHeight="1">
      <c r="A29" s="1" t="s">
        <v>7</v>
      </c>
      <c r="B29" s="109" t="s">
        <v>31</v>
      </c>
      <c r="C29" s="109"/>
      <c r="D29" s="109"/>
      <c r="E29" s="109"/>
      <c r="F29" s="109"/>
      <c r="G29" s="109"/>
      <c r="H29" s="109"/>
      <c r="I29" s="4">
        <v>0.2</v>
      </c>
      <c r="J29" s="2">
        <f>I29*J24</f>
        <v>291.154</v>
      </c>
      <c r="Q29" s="54"/>
    </row>
    <row r="30" spans="1:17" ht="15.75" customHeight="1">
      <c r="A30" s="116" t="s">
        <v>32</v>
      </c>
      <c r="B30" s="116"/>
      <c r="C30" s="116"/>
      <c r="D30" s="116"/>
      <c r="E30" s="116"/>
      <c r="F30" s="116"/>
      <c r="G30" s="116"/>
      <c r="H30" s="116"/>
      <c r="I30" s="116"/>
      <c r="J30" s="5">
        <f>SUM(J24:J29)</f>
        <v>1746.924</v>
      </c>
    </row>
    <row r="31" spans="1:17" ht="13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Q31" s="54"/>
    </row>
    <row r="32" spans="1:17" ht="16.149999999999999" customHeight="1">
      <c r="A32" s="112" t="s">
        <v>33</v>
      </c>
      <c r="B32" s="112"/>
      <c r="C32" s="112"/>
      <c r="D32" s="112"/>
      <c r="E32" s="112"/>
      <c r="F32" s="112"/>
      <c r="G32" s="112"/>
      <c r="H32" s="112"/>
      <c r="I32" s="112"/>
      <c r="J32" s="112"/>
    </row>
    <row r="33" spans="1:13" ht="14">
      <c r="A33" s="129" t="s">
        <v>34</v>
      </c>
      <c r="B33" s="129"/>
      <c r="C33" s="129"/>
      <c r="D33" s="129"/>
      <c r="E33" s="129"/>
      <c r="F33" s="129"/>
      <c r="G33" s="129"/>
      <c r="H33" s="129"/>
      <c r="I33" s="129"/>
      <c r="J33" s="129"/>
    </row>
    <row r="34" spans="1:13" ht="14">
      <c r="A34" s="6" t="s">
        <v>35</v>
      </c>
      <c r="B34" s="130" t="s">
        <v>36</v>
      </c>
      <c r="C34" s="130"/>
      <c r="D34" s="130"/>
      <c r="E34" s="130"/>
      <c r="F34" s="130"/>
      <c r="G34" s="130"/>
      <c r="H34" s="130"/>
      <c r="I34" s="130"/>
      <c r="J34" s="7" t="s">
        <v>37</v>
      </c>
    </row>
    <row r="35" spans="1:13" ht="27.65" customHeight="1">
      <c r="A35" s="8" t="s">
        <v>5</v>
      </c>
      <c r="B35" s="109" t="s">
        <v>38</v>
      </c>
      <c r="C35" s="109"/>
      <c r="D35" s="109"/>
      <c r="E35" s="109"/>
      <c r="F35" s="109"/>
      <c r="G35" s="109"/>
      <c r="H35" s="109"/>
      <c r="I35" s="9">
        <v>8.3299999999999999E-2</v>
      </c>
      <c r="J35" s="10">
        <f>ROUND($J$30*I35,2)</f>
        <v>145.52000000000001</v>
      </c>
      <c r="M35" s="55"/>
    </row>
    <row r="36" spans="1:13" ht="36.25" customHeight="1">
      <c r="A36" s="8" t="s">
        <v>7</v>
      </c>
      <c r="B36" s="120" t="s">
        <v>39</v>
      </c>
      <c r="C36" s="120"/>
      <c r="D36" s="120"/>
      <c r="E36" s="120"/>
      <c r="F36" s="120"/>
      <c r="G36" s="120"/>
      <c r="H36" s="120"/>
      <c r="I36" s="11">
        <v>3.0249999999999999E-2</v>
      </c>
      <c r="J36" s="10">
        <f>ROUND($J$30*I36,2)</f>
        <v>52.84</v>
      </c>
    </row>
    <row r="37" spans="1:13" ht="13">
      <c r="A37" s="128" t="s">
        <v>40</v>
      </c>
      <c r="B37" s="128"/>
      <c r="C37" s="128"/>
      <c r="D37" s="128"/>
      <c r="E37" s="128"/>
      <c r="F37" s="128"/>
      <c r="G37" s="128"/>
      <c r="H37" s="128"/>
      <c r="I37" s="128"/>
      <c r="J37" s="98">
        <f>SUM(J35+J36)</f>
        <v>198.36</v>
      </c>
    </row>
    <row r="38" spans="1:13" ht="13">
      <c r="A38" s="101"/>
      <c r="B38" s="101"/>
      <c r="C38" s="101"/>
      <c r="D38" s="101"/>
      <c r="E38" s="101"/>
      <c r="F38" s="101"/>
      <c r="G38" s="101"/>
      <c r="H38" s="101"/>
      <c r="I38" s="101"/>
      <c r="J38" s="101"/>
    </row>
    <row r="39" spans="1:13" ht="30.4" customHeight="1">
      <c r="A39" s="112" t="s">
        <v>41</v>
      </c>
      <c r="B39" s="112"/>
      <c r="C39" s="112"/>
      <c r="D39" s="112"/>
      <c r="E39" s="112"/>
      <c r="F39" s="112"/>
      <c r="G39" s="112"/>
      <c r="H39" s="112"/>
      <c r="I39" s="112"/>
      <c r="J39" s="112"/>
    </row>
    <row r="40" spans="1:13" ht="30.4" customHeight="1">
      <c r="A40" s="97" t="s">
        <v>42</v>
      </c>
      <c r="B40" s="113" t="s">
        <v>43</v>
      </c>
      <c r="C40" s="113"/>
      <c r="D40" s="113"/>
      <c r="E40" s="113"/>
      <c r="F40" s="113"/>
      <c r="G40" s="113"/>
      <c r="H40" s="113"/>
      <c r="I40" s="96" t="s">
        <v>44</v>
      </c>
      <c r="J40" s="96" t="s">
        <v>45</v>
      </c>
    </row>
    <row r="41" spans="1:13" ht="13">
      <c r="A41" s="8" t="s">
        <v>5</v>
      </c>
      <c r="B41" s="104" t="s">
        <v>46</v>
      </c>
      <c r="C41" s="104"/>
      <c r="D41" s="104"/>
      <c r="E41" s="104"/>
      <c r="F41" s="104"/>
      <c r="G41" s="104"/>
      <c r="H41" s="104"/>
      <c r="I41" s="15">
        <v>0.2</v>
      </c>
      <c r="J41" s="16">
        <f>ROUND(($J$30+$J$37)*I41,2)</f>
        <v>389.06</v>
      </c>
    </row>
    <row r="42" spans="1:13" ht="13">
      <c r="A42" s="8" t="s">
        <v>7</v>
      </c>
      <c r="B42" s="104" t="s">
        <v>47</v>
      </c>
      <c r="C42" s="104"/>
      <c r="D42" s="104"/>
      <c r="E42" s="104"/>
      <c r="F42" s="104"/>
      <c r="G42" s="104"/>
      <c r="H42" s="104"/>
      <c r="I42" s="15">
        <v>2.5000000000000001E-2</v>
      </c>
      <c r="J42" s="16">
        <f t="shared" ref="J42:J48" si="0">ROUND(($J$30+$J$37)*I42,2)</f>
        <v>48.63</v>
      </c>
    </row>
    <row r="43" spans="1:13" ht="23.9" customHeight="1">
      <c r="A43" s="8" t="s">
        <v>9</v>
      </c>
      <c r="B43" s="109" t="s">
        <v>48</v>
      </c>
      <c r="C43" s="109"/>
      <c r="D43" s="109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19.45</v>
      </c>
    </row>
    <row r="44" spans="1:13" ht="13">
      <c r="A44" s="8" t="s">
        <v>12</v>
      </c>
      <c r="B44" s="104" t="s">
        <v>51</v>
      </c>
      <c r="C44" s="104"/>
      <c r="D44" s="104"/>
      <c r="E44" s="104"/>
      <c r="F44" s="104"/>
      <c r="G44" s="104"/>
      <c r="H44" s="104"/>
      <c r="I44" s="15">
        <v>1.4999999999999999E-2</v>
      </c>
      <c r="J44" s="16">
        <f t="shared" si="0"/>
        <v>29.18</v>
      </c>
    </row>
    <row r="45" spans="1:13" ht="13">
      <c r="A45" s="8" t="s">
        <v>29</v>
      </c>
      <c r="B45" s="104" t="s">
        <v>52</v>
      </c>
      <c r="C45" s="104"/>
      <c r="D45" s="104"/>
      <c r="E45" s="104"/>
      <c r="F45" s="104"/>
      <c r="G45" s="104"/>
      <c r="H45" s="104"/>
      <c r="I45" s="15">
        <v>0.01</v>
      </c>
      <c r="J45" s="16">
        <f t="shared" si="0"/>
        <v>19.45</v>
      </c>
    </row>
    <row r="46" spans="1:13" ht="13">
      <c r="A46" s="8" t="s">
        <v>53</v>
      </c>
      <c r="B46" s="104" t="s">
        <v>54</v>
      </c>
      <c r="C46" s="104"/>
      <c r="D46" s="104"/>
      <c r="E46" s="104"/>
      <c r="F46" s="104"/>
      <c r="G46" s="104"/>
      <c r="H46" s="104"/>
      <c r="I46" s="15">
        <v>6.0000000000000001E-3</v>
      </c>
      <c r="J46" s="16">
        <f t="shared" si="0"/>
        <v>11.67</v>
      </c>
    </row>
    <row r="47" spans="1:13" ht="13">
      <c r="A47" s="8" t="s">
        <v>55</v>
      </c>
      <c r="B47" s="104" t="s">
        <v>56</v>
      </c>
      <c r="C47" s="104"/>
      <c r="D47" s="104"/>
      <c r="E47" s="104"/>
      <c r="F47" s="104"/>
      <c r="G47" s="104"/>
      <c r="H47" s="104"/>
      <c r="I47" s="15">
        <v>2E-3</v>
      </c>
      <c r="J47" s="16">
        <f t="shared" si="0"/>
        <v>3.89</v>
      </c>
    </row>
    <row r="48" spans="1:13" ht="13">
      <c r="A48" s="8" t="s">
        <v>57</v>
      </c>
      <c r="B48" s="104" t="s">
        <v>58</v>
      </c>
      <c r="C48" s="104"/>
      <c r="D48" s="104"/>
      <c r="E48" s="104"/>
      <c r="F48" s="104"/>
      <c r="G48" s="104"/>
      <c r="H48" s="104"/>
      <c r="I48" s="15">
        <v>0.08</v>
      </c>
      <c r="J48" s="16">
        <f t="shared" si="0"/>
        <v>155.62</v>
      </c>
    </row>
    <row r="49" spans="1:12" ht="13">
      <c r="A49" s="105" t="s">
        <v>40</v>
      </c>
      <c r="B49" s="105"/>
      <c r="C49" s="105"/>
      <c r="D49" s="105"/>
      <c r="E49" s="105"/>
      <c r="F49" s="105"/>
      <c r="G49" s="105"/>
      <c r="H49" s="105"/>
      <c r="I49" s="21">
        <f>SUM(I41:I48)</f>
        <v>0.34800000000000003</v>
      </c>
      <c r="J49" s="14">
        <f>SUM(J41:J48)</f>
        <v>676.94999999999993</v>
      </c>
    </row>
    <row r="50" spans="1:12" ht="13">
      <c r="A50" s="101"/>
      <c r="B50" s="101"/>
      <c r="C50" s="101"/>
      <c r="D50" s="101"/>
      <c r="E50" s="101"/>
      <c r="F50" s="101"/>
      <c r="G50" s="101"/>
      <c r="H50" s="101"/>
      <c r="I50" s="101"/>
      <c r="J50" s="101"/>
    </row>
    <row r="51" spans="1:12" ht="16.149999999999999" customHeight="1">
      <c r="A51" s="112" t="s">
        <v>59</v>
      </c>
      <c r="B51" s="112"/>
      <c r="C51" s="112"/>
      <c r="D51" s="112"/>
      <c r="E51" s="112"/>
      <c r="F51" s="112"/>
      <c r="G51" s="112"/>
      <c r="H51" s="112"/>
      <c r="I51" s="112"/>
      <c r="J51" s="112"/>
      <c r="L51" s="53"/>
    </row>
    <row r="52" spans="1:12" ht="16.149999999999999" customHeight="1">
      <c r="A52" s="97" t="s">
        <v>60</v>
      </c>
      <c r="B52" s="113" t="s">
        <v>61</v>
      </c>
      <c r="C52" s="113"/>
      <c r="D52" s="113"/>
      <c r="E52" s="113"/>
      <c r="F52" s="113"/>
      <c r="G52" s="113"/>
      <c r="H52" s="113"/>
      <c r="I52" s="113"/>
      <c r="J52" s="96" t="s">
        <v>37</v>
      </c>
    </row>
    <row r="53" spans="1:12" ht="13">
      <c r="A53" s="8" t="s">
        <v>5</v>
      </c>
      <c r="B53" s="104" t="s">
        <v>62</v>
      </c>
      <c r="C53" s="104"/>
      <c r="D53" s="104"/>
      <c r="E53" s="104"/>
      <c r="F53" s="104"/>
      <c r="G53" s="104"/>
      <c r="H53" s="104"/>
      <c r="I53" s="104"/>
      <c r="J53" s="16">
        <f>IF(ROUND((I56*I54*I55)-(J24*0.06),2)&lt;0,0,ROUND((I56*I54*I55)-(J24*0.06),2))</f>
        <v>123.85</v>
      </c>
    </row>
    <row r="54" spans="1:12" ht="13">
      <c r="A54" s="8"/>
      <c r="B54" s="121" t="s">
        <v>63</v>
      </c>
      <c r="C54" s="121"/>
      <c r="D54" s="121"/>
      <c r="E54" s="121"/>
      <c r="F54" s="121"/>
      <c r="G54" s="121"/>
      <c r="H54" s="121"/>
      <c r="I54" s="22">
        <v>4.8</v>
      </c>
      <c r="J54" s="51" t="s">
        <v>64</v>
      </c>
    </row>
    <row r="55" spans="1:12" ht="13">
      <c r="A55" s="8"/>
      <c r="B55" s="121" t="s">
        <v>65</v>
      </c>
      <c r="C55" s="121"/>
      <c r="D55" s="121"/>
      <c r="E55" s="121"/>
      <c r="F55" s="121"/>
      <c r="G55" s="121"/>
      <c r="H55" s="121"/>
      <c r="I55" s="23">
        <v>2</v>
      </c>
      <c r="J55" s="51"/>
    </row>
    <row r="56" spans="1:12" ht="13">
      <c r="A56" s="8"/>
      <c r="B56" s="121" t="s">
        <v>66</v>
      </c>
      <c r="C56" s="121"/>
      <c r="D56" s="121"/>
      <c r="E56" s="121"/>
      <c r="F56" s="121"/>
      <c r="G56" s="121"/>
      <c r="H56" s="121"/>
      <c r="I56" s="24">
        <v>22</v>
      </c>
      <c r="J56" s="51"/>
    </row>
    <row r="57" spans="1:12" ht="13">
      <c r="A57" s="8" t="s">
        <v>7</v>
      </c>
      <c r="B57" s="104" t="s">
        <v>67</v>
      </c>
      <c r="C57" s="104"/>
      <c r="D57" s="104"/>
      <c r="E57" s="104"/>
      <c r="F57" s="104"/>
      <c r="G57" s="104"/>
      <c r="H57" s="104"/>
      <c r="I57" s="104"/>
      <c r="J57" s="16">
        <f>ROUND((I58*I59)-(I59*I58*I60),2)</f>
        <v>359.61</v>
      </c>
    </row>
    <row r="58" spans="1:12" ht="13">
      <c r="A58" s="8"/>
      <c r="B58" s="121" t="s">
        <v>68</v>
      </c>
      <c r="C58" s="121"/>
      <c r="D58" s="121"/>
      <c r="E58" s="121"/>
      <c r="F58" s="121"/>
      <c r="G58" s="121"/>
      <c r="H58" s="121"/>
      <c r="I58" s="22">
        <v>20.18</v>
      </c>
      <c r="J58" s="51" t="s">
        <v>64</v>
      </c>
    </row>
    <row r="59" spans="1:12" ht="13">
      <c r="A59" s="25"/>
      <c r="B59" s="121" t="s">
        <v>69</v>
      </c>
      <c r="C59" s="121"/>
      <c r="D59" s="121"/>
      <c r="E59" s="121"/>
      <c r="F59" s="121"/>
      <c r="G59" s="121"/>
      <c r="H59" s="121"/>
      <c r="I59" s="26">
        <v>22</v>
      </c>
      <c r="J59" s="51"/>
    </row>
    <row r="60" spans="1:12" ht="13">
      <c r="A60" s="25"/>
      <c r="B60" s="121" t="s">
        <v>132</v>
      </c>
      <c r="C60" s="121"/>
      <c r="D60" s="121"/>
      <c r="E60" s="121"/>
      <c r="F60" s="121"/>
      <c r="G60" s="121"/>
      <c r="H60" s="121"/>
      <c r="I60" s="52">
        <v>0.19</v>
      </c>
      <c r="J60" s="51"/>
    </row>
    <row r="61" spans="1:12" ht="27.65" customHeight="1">
      <c r="A61" s="8"/>
      <c r="B61" s="121" t="s">
        <v>208</v>
      </c>
      <c r="C61" s="121"/>
      <c r="D61" s="121"/>
      <c r="E61" s="121"/>
      <c r="F61" s="121"/>
      <c r="G61" s="121"/>
      <c r="H61" s="121"/>
      <c r="I61" s="22"/>
      <c r="J61" s="16"/>
    </row>
    <row r="62" spans="1:12" ht="27.65" customHeight="1">
      <c r="A62" s="25"/>
      <c r="B62" s="121" t="s">
        <v>69</v>
      </c>
      <c r="C62" s="121"/>
      <c r="D62" s="121"/>
      <c r="E62" s="121"/>
      <c r="F62" s="121"/>
      <c r="G62" s="121"/>
      <c r="H62" s="121"/>
      <c r="I62" s="26"/>
      <c r="J62" s="51"/>
      <c r="L62" s="50"/>
    </row>
    <row r="63" spans="1:12" ht="27.65" customHeight="1">
      <c r="A63" s="8" t="s">
        <v>12</v>
      </c>
      <c r="B63" s="122" t="s">
        <v>186</v>
      </c>
      <c r="C63" s="123"/>
      <c r="D63" s="123"/>
      <c r="E63" s="123"/>
      <c r="F63" s="123"/>
      <c r="G63" s="123"/>
      <c r="H63" s="123"/>
      <c r="I63" s="124"/>
      <c r="J63" s="27">
        <v>17.32</v>
      </c>
      <c r="L63" s="50"/>
    </row>
    <row r="64" spans="1:12" ht="13">
      <c r="A64" s="125" t="s">
        <v>32</v>
      </c>
      <c r="B64" s="126"/>
      <c r="C64" s="126"/>
      <c r="D64" s="126"/>
      <c r="E64" s="126"/>
      <c r="F64" s="126"/>
      <c r="G64" s="126"/>
      <c r="H64" s="126"/>
      <c r="I64" s="127"/>
      <c r="J64" s="14">
        <f>SUM(J53:J63)</f>
        <v>500.78000000000003</v>
      </c>
      <c r="L64" s="50"/>
    </row>
    <row r="65" spans="1:12" ht="13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L65" s="50"/>
    </row>
    <row r="66" spans="1:12" ht="16.149999999999999" customHeight="1">
      <c r="A66" s="112" t="s">
        <v>71</v>
      </c>
      <c r="B66" s="112"/>
      <c r="C66" s="112"/>
      <c r="D66" s="112"/>
      <c r="E66" s="112"/>
      <c r="F66" s="112"/>
      <c r="G66" s="112"/>
      <c r="H66" s="112"/>
      <c r="I66" s="112"/>
      <c r="J66" s="112"/>
      <c r="L66" s="50"/>
    </row>
    <row r="67" spans="1:12" ht="16.149999999999999" customHeight="1">
      <c r="A67" s="96">
        <v>2</v>
      </c>
      <c r="B67" s="115" t="s">
        <v>72</v>
      </c>
      <c r="C67" s="115"/>
      <c r="D67" s="115"/>
      <c r="E67" s="115"/>
      <c r="F67" s="115"/>
      <c r="G67" s="115"/>
      <c r="H67" s="115"/>
      <c r="I67" s="115"/>
      <c r="J67" s="96" t="s">
        <v>37</v>
      </c>
      <c r="L67" s="50"/>
    </row>
    <row r="68" spans="1:12" ht="14.65" customHeight="1">
      <c r="A68" s="1" t="s">
        <v>35</v>
      </c>
      <c r="B68" s="1"/>
      <c r="C68" s="109" t="s">
        <v>73</v>
      </c>
      <c r="D68" s="109"/>
      <c r="E68" s="109"/>
      <c r="F68" s="109"/>
      <c r="G68" s="109"/>
      <c r="H68" s="109"/>
      <c r="I68" s="109"/>
      <c r="J68" s="28">
        <f>J37</f>
        <v>198.36</v>
      </c>
      <c r="L68" s="50"/>
    </row>
    <row r="69" spans="1:12" ht="14.65" customHeight="1">
      <c r="A69" s="1" t="s">
        <v>42</v>
      </c>
      <c r="B69" s="1"/>
      <c r="C69" s="109" t="s">
        <v>43</v>
      </c>
      <c r="D69" s="109"/>
      <c r="E69" s="109"/>
      <c r="F69" s="109"/>
      <c r="G69" s="109"/>
      <c r="H69" s="109"/>
      <c r="I69" s="109"/>
      <c r="J69" s="28">
        <f>J49</f>
        <v>676.94999999999993</v>
      </c>
      <c r="L69" s="50"/>
    </row>
    <row r="70" spans="1:12" ht="14.65" customHeight="1">
      <c r="A70" s="1" t="s">
        <v>60</v>
      </c>
      <c r="B70" s="1"/>
      <c r="C70" s="109" t="s">
        <v>61</v>
      </c>
      <c r="D70" s="109"/>
      <c r="E70" s="109"/>
      <c r="F70" s="109"/>
      <c r="G70" s="109"/>
      <c r="H70" s="109"/>
      <c r="I70" s="109"/>
      <c r="J70" s="28">
        <f>J64</f>
        <v>500.78000000000003</v>
      </c>
      <c r="L70" s="50"/>
    </row>
    <row r="71" spans="1:12" ht="14.65" customHeight="1">
      <c r="A71" s="116" t="s">
        <v>40</v>
      </c>
      <c r="B71" s="116"/>
      <c r="C71" s="116"/>
      <c r="D71" s="116"/>
      <c r="E71" s="116"/>
      <c r="F71" s="116"/>
      <c r="G71" s="116"/>
      <c r="H71" s="116"/>
      <c r="I71" s="116"/>
      <c r="J71" s="29">
        <f>SUM(J68+J69+J70)</f>
        <v>1376.09</v>
      </c>
    </row>
    <row r="72" spans="1:12" ht="13">
      <c r="A72" s="101"/>
      <c r="B72" s="101"/>
      <c r="C72" s="101"/>
      <c r="D72" s="101"/>
      <c r="E72" s="101"/>
      <c r="F72" s="101"/>
      <c r="G72" s="101"/>
      <c r="H72" s="101"/>
      <c r="I72" s="101"/>
      <c r="J72" s="101"/>
    </row>
    <row r="73" spans="1:12" ht="16.149999999999999" customHeight="1">
      <c r="A73" s="112" t="s">
        <v>74</v>
      </c>
      <c r="B73" s="112"/>
      <c r="C73" s="112"/>
      <c r="D73" s="112"/>
      <c r="E73" s="112"/>
      <c r="F73" s="112"/>
      <c r="G73" s="112"/>
      <c r="H73" s="112"/>
      <c r="I73" s="112"/>
      <c r="J73" s="112"/>
    </row>
    <row r="74" spans="1:12" ht="16.149999999999999" customHeight="1">
      <c r="A74" s="97">
        <v>3</v>
      </c>
      <c r="B74" s="115" t="s">
        <v>75</v>
      </c>
      <c r="C74" s="115"/>
      <c r="D74" s="115"/>
      <c r="E74" s="115"/>
      <c r="F74" s="115"/>
      <c r="G74" s="115"/>
      <c r="H74" s="115"/>
      <c r="I74" s="115"/>
      <c r="J74" s="97" t="s">
        <v>76</v>
      </c>
    </row>
    <row r="75" spans="1:12" ht="46.5" customHeight="1">
      <c r="A75" s="8" t="s">
        <v>5</v>
      </c>
      <c r="B75" s="109" t="s">
        <v>135</v>
      </c>
      <c r="C75" s="109"/>
      <c r="D75" s="109"/>
      <c r="E75" s="109"/>
      <c r="F75" s="109"/>
      <c r="G75" s="109"/>
      <c r="H75" s="109"/>
      <c r="I75" s="109"/>
      <c r="J75" s="16">
        <f>ROUND(((J30)+(J35)+(J30/12)+(J36))/12*0.01,2)</f>
        <v>1.74</v>
      </c>
      <c r="L75" s="50"/>
    </row>
    <row r="76" spans="1:12" ht="14.65" customHeight="1">
      <c r="A76" s="8" t="s">
        <v>7</v>
      </c>
      <c r="B76" s="109" t="s">
        <v>77</v>
      </c>
      <c r="C76" s="109"/>
      <c r="D76" s="109"/>
      <c r="E76" s="109"/>
      <c r="F76" s="109"/>
      <c r="G76" s="109"/>
      <c r="H76" s="109"/>
      <c r="I76" s="109"/>
      <c r="J76" s="16">
        <f>ROUND($J$75*I48,2)</f>
        <v>0.14000000000000001</v>
      </c>
    </row>
    <row r="77" spans="1:12" ht="36.25" customHeight="1">
      <c r="A77" s="8" t="s">
        <v>9</v>
      </c>
      <c r="B77" s="109" t="s">
        <v>136</v>
      </c>
      <c r="C77" s="109"/>
      <c r="D77" s="109"/>
      <c r="E77" s="109"/>
      <c r="F77" s="109"/>
      <c r="G77" s="109"/>
      <c r="H77" s="109"/>
      <c r="I77" s="30">
        <v>2.3999999999999998E-3</v>
      </c>
      <c r="J77" s="16">
        <f>ROUND($J$30*I77,2)</f>
        <v>4.1900000000000004</v>
      </c>
    </row>
    <row r="78" spans="1:12" ht="34.5" customHeight="1">
      <c r="A78" s="8" t="s">
        <v>12</v>
      </c>
      <c r="B78" s="109" t="s">
        <v>138</v>
      </c>
      <c r="C78" s="109"/>
      <c r="D78" s="109"/>
      <c r="E78" s="109"/>
      <c r="F78" s="109"/>
      <c r="G78" s="109"/>
      <c r="H78" s="109"/>
      <c r="I78" s="109"/>
      <c r="J78" s="16">
        <f>J30/30*7/12*0.05</f>
        <v>1.6983983333333335</v>
      </c>
    </row>
    <row r="79" spans="1:12" ht="14.65" customHeight="1">
      <c r="A79" s="8" t="s">
        <v>29</v>
      </c>
      <c r="B79" s="109" t="s">
        <v>78</v>
      </c>
      <c r="C79" s="109"/>
      <c r="D79" s="109"/>
      <c r="E79" s="109"/>
      <c r="F79" s="109"/>
      <c r="G79" s="109"/>
      <c r="H79" s="109"/>
      <c r="I79" s="109"/>
      <c r="J79" s="16">
        <f>ROUND($I$49*J78,2)</f>
        <v>0.59</v>
      </c>
    </row>
    <row r="80" spans="1:12" ht="36.25" customHeight="1">
      <c r="A80" s="8" t="s">
        <v>53</v>
      </c>
      <c r="B80" s="109" t="s">
        <v>137</v>
      </c>
      <c r="C80" s="109"/>
      <c r="D80" s="109"/>
      <c r="E80" s="109"/>
      <c r="F80" s="109"/>
      <c r="G80" s="109"/>
      <c r="H80" s="109"/>
      <c r="I80" s="30">
        <v>3.7600000000000001E-2</v>
      </c>
      <c r="J80" s="16">
        <f>ROUND($J$30*I80,2)</f>
        <v>65.680000000000007</v>
      </c>
    </row>
    <row r="81" spans="1:10" ht="13">
      <c r="A81" s="105" t="s">
        <v>40</v>
      </c>
      <c r="B81" s="105"/>
      <c r="C81" s="105"/>
      <c r="D81" s="105"/>
      <c r="E81" s="105"/>
      <c r="F81" s="105"/>
      <c r="G81" s="105"/>
      <c r="H81" s="105"/>
      <c r="I81" s="105"/>
      <c r="J81" s="14">
        <f>SUM(J75:J80)</f>
        <v>74.038398333333333</v>
      </c>
    </row>
    <row r="82" spans="1:10" ht="13">
      <c r="A82" s="101"/>
      <c r="B82" s="101"/>
      <c r="C82" s="101"/>
      <c r="D82" s="101"/>
      <c r="E82" s="101"/>
      <c r="F82" s="101"/>
      <c r="G82" s="101"/>
      <c r="H82" s="101"/>
      <c r="I82" s="101"/>
      <c r="J82" s="101"/>
    </row>
    <row r="83" spans="1:10" ht="16.149999999999999" customHeight="1">
      <c r="A83" s="112" t="s">
        <v>79</v>
      </c>
      <c r="B83" s="112"/>
      <c r="C83" s="112"/>
      <c r="D83" s="112"/>
      <c r="E83" s="112"/>
      <c r="F83" s="112"/>
      <c r="G83" s="112"/>
      <c r="H83" s="112"/>
      <c r="I83" s="112"/>
      <c r="J83" s="112"/>
    </row>
    <row r="84" spans="1:10" ht="15" customHeight="1">
      <c r="A84" s="119" t="s">
        <v>80</v>
      </c>
      <c r="B84" s="119"/>
      <c r="C84" s="119"/>
      <c r="D84" s="119"/>
      <c r="E84" s="119"/>
      <c r="F84" s="119"/>
      <c r="G84" s="119"/>
      <c r="H84" s="119"/>
      <c r="I84" s="119"/>
      <c r="J84" s="31">
        <f>J87+J30+J35+J36</f>
        <v>2103.8140000000003</v>
      </c>
    </row>
    <row r="85" spans="1:10" ht="14.65" customHeight="1">
      <c r="A85" s="120"/>
      <c r="B85" s="120"/>
      <c r="C85" s="120"/>
      <c r="D85" s="120"/>
      <c r="E85" s="120"/>
      <c r="F85" s="120"/>
      <c r="G85" s="120"/>
      <c r="H85" s="120"/>
      <c r="I85" s="120"/>
      <c r="J85" s="120"/>
    </row>
    <row r="86" spans="1:10" ht="14">
      <c r="A86" s="32" t="s">
        <v>81</v>
      </c>
      <c r="B86" s="113" t="s">
        <v>82</v>
      </c>
      <c r="C86" s="113"/>
      <c r="D86" s="113"/>
      <c r="E86" s="113"/>
      <c r="F86" s="113"/>
      <c r="G86" s="113"/>
      <c r="H86" s="113"/>
      <c r="I86" s="113"/>
      <c r="J86" s="32" t="s">
        <v>37</v>
      </c>
    </row>
    <row r="87" spans="1:10" ht="12.75" customHeight="1">
      <c r="A87" s="12" t="s">
        <v>5</v>
      </c>
      <c r="B87" s="109" t="s">
        <v>83</v>
      </c>
      <c r="C87" s="109"/>
      <c r="D87" s="109"/>
      <c r="E87" s="109"/>
      <c r="F87" s="109"/>
      <c r="G87" s="109"/>
      <c r="H87" s="109"/>
      <c r="I87" s="33">
        <f>12.1%-I36</f>
        <v>9.0749999999999997E-2</v>
      </c>
      <c r="J87" s="16">
        <f>ROUND(($J$30*I87),2)</f>
        <v>158.53</v>
      </c>
    </row>
    <row r="88" spans="1:10" ht="13">
      <c r="A88" s="12" t="s">
        <v>7</v>
      </c>
      <c r="B88" s="104" t="s">
        <v>131</v>
      </c>
      <c r="C88" s="104"/>
      <c r="D88" s="104"/>
      <c r="E88" s="104"/>
      <c r="F88" s="104"/>
      <c r="G88" s="104"/>
      <c r="H88" s="104"/>
      <c r="I88" s="104"/>
      <c r="J88" s="34">
        <f>J84/30*0.1/12</f>
        <v>0.58439277777777787</v>
      </c>
    </row>
    <row r="89" spans="1:10" ht="13">
      <c r="A89" s="12" t="s">
        <v>9</v>
      </c>
      <c r="B89" s="104" t="s">
        <v>84</v>
      </c>
      <c r="C89" s="104"/>
      <c r="D89" s="104"/>
      <c r="E89" s="104"/>
      <c r="F89" s="104"/>
      <c r="G89" s="104"/>
      <c r="H89" s="104"/>
      <c r="I89" s="104"/>
      <c r="J89" s="34">
        <f>J84/30*5/12*1.5%</f>
        <v>0.43829458333333343</v>
      </c>
    </row>
    <row r="90" spans="1:10" ht="13">
      <c r="A90" s="12" t="s">
        <v>12</v>
      </c>
      <c r="B90" s="104" t="s">
        <v>85</v>
      </c>
      <c r="C90" s="104"/>
      <c r="D90" s="104"/>
      <c r="E90" s="104"/>
      <c r="F90" s="104"/>
      <c r="G90" s="104"/>
      <c r="H90" s="104"/>
      <c r="I90" s="104"/>
      <c r="J90" s="13">
        <f>J84/30*15/12*0.78%</f>
        <v>0.6837395500000002</v>
      </c>
    </row>
    <row r="91" spans="1:10" ht="13">
      <c r="A91" s="12" t="s">
        <v>29</v>
      </c>
      <c r="B91" s="104" t="s">
        <v>86</v>
      </c>
      <c r="C91" s="104"/>
      <c r="D91" s="104"/>
      <c r="E91" s="104"/>
      <c r="F91" s="104"/>
      <c r="G91" s="104"/>
      <c r="H91" s="104"/>
      <c r="I91" s="104"/>
      <c r="J91" s="16">
        <f>(J30+J36)/12*4/12*1%</f>
        <v>0.49993444444444446</v>
      </c>
    </row>
    <row r="92" spans="1:10" ht="13">
      <c r="A92" s="35" t="s">
        <v>53</v>
      </c>
      <c r="B92" s="118" t="s">
        <v>87</v>
      </c>
      <c r="C92" s="118"/>
      <c r="D92" s="118"/>
      <c r="E92" s="118"/>
      <c r="F92" s="118"/>
      <c r="G92" s="118"/>
      <c r="H92" s="118"/>
      <c r="I92" s="118"/>
      <c r="J92" s="13">
        <f>J84/30*0.15/12</f>
        <v>0.87658916666666675</v>
      </c>
    </row>
    <row r="93" spans="1:10" ht="13">
      <c r="A93" s="105" t="s">
        <v>40</v>
      </c>
      <c r="B93" s="105"/>
      <c r="C93" s="105"/>
      <c r="D93" s="105"/>
      <c r="E93" s="105"/>
      <c r="F93" s="105"/>
      <c r="G93" s="105"/>
      <c r="H93" s="105"/>
      <c r="I93" s="105"/>
      <c r="J93" s="36">
        <f>SUM(J87:J92)</f>
        <v>161.61295052222223</v>
      </c>
    </row>
    <row r="94" spans="1:10" ht="14.65" customHeight="1">
      <c r="A94" s="12"/>
      <c r="B94" s="104"/>
      <c r="C94" s="104"/>
      <c r="D94" s="104"/>
      <c r="E94" s="104"/>
      <c r="F94" s="104"/>
      <c r="G94" s="104"/>
      <c r="H94" s="104"/>
      <c r="I94" s="104"/>
      <c r="J94" s="13"/>
    </row>
    <row r="95" spans="1:10" ht="13">
      <c r="A95" s="105" t="s">
        <v>40</v>
      </c>
      <c r="B95" s="105"/>
      <c r="C95" s="105"/>
      <c r="D95" s="105"/>
      <c r="E95" s="105"/>
      <c r="F95" s="105"/>
      <c r="G95" s="105"/>
      <c r="H95" s="105"/>
      <c r="I95" s="105"/>
      <c r="J95" s="14">
        <f>SUM(J93:J94)</f>
        <v>161.61295052222223</v>
      </c>
    </row>
    <row r="96" spans="1:10" ht="16.149999999999999" customHeight="1">
      <c r="A96" s="112" t="s">
        <v>88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14">
      <c r="A97" s="97" t="s">
        <v>89</v>
      </c>
      <c r="B97" s="113" t="s">
        <v>90</v>
      </c>
      <c r="C97" s="113"/>
      <c r="D97" s="113"/>
      <c r="E97" s="113"/>
      <c r="F97" s="113"/>
      <c r="G97" s="113"/>
      <c r="H97" s="113"/>
      <c r="I97" s="113"/>
      <c r="J97" s="37" t="s">
        <v>37</v>
      </c>
    </row>
    <row r="98" spans="1:10" ht="13">
      <c r="A98" s="8" t="s">
        <v>5</v>
      </c>
      <c r="B98" s="104" t="s">
        <v>91</v>
      </c>
      <c r="C98" s="104"/>
      <c r="D98" s="104"/>
      <c r="E98" s="104"/>
      <c r="F98" s="104"/>
      <c r="G98" s="104"/>
      <c r="H98" s="104"/>
      <c r="I98" s="104"/>
      <c r="J98" s="16">
        <v>0</v>
      </c>
    </row>
    <row r="99" spans="1:10" ht="13">
      <c r="A99" s="117" t="s">
        <v>40</v>
      </c>
      <c r="B99" s="117"/>
      <c r="C99" s="117"/>
      <c r="D99" s="117"/>
      <c r="E99" s="117"/>
      <c r="F99" s="117"/>
      <c r="G99" s="117"/>
      <c r="H99" s="117"/>
      <c r="I99" s="117"/>
      <c r="J99" s="16">
        <v>0</v>
      </c>
    </row>
    <row r="100" spans="1:10" ht="13">
      <c r="A100" s="12"/>
      <c r="B100" s="104"/>
      <c r="C100" s="104"/>
      <c r="D100" s="104"/>
      <c r="E100" s="104"/>
      <c r="F100" s="104"/>
      <c r="G100" s="104"/>
      <c r="H100" s="104"/>
      <c r="I100" s="104"/>
      <c r="J100" s="13"/>
    </row>
    <row r="101" spans="1:10" ht="13">
      <c r="A101" s="105" t="s">
        <v>40</v>
      </c>
      <c r="B101" s="105"/>
      <c r="C101" s="105"/>
      <c r="D101" s="105"/>
      <c r="E101" s="105"/>
      <c r="F101" s="105"/>
      <c r="G101" s="105"/>
      <c r="H101" s="105"/>
      <c r="I101" s="105"/>
      <c r="J101" s="14">
        <f>SUM(J99:J100)</f>
        <v>0</v>
      </c>
    </row>
    <row r="102" spans="1:10" ht="13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</row>
    <row r="103" spans="1:10" ht="16.149999999999999" customHeight="1">
      <c r="A103" s="112" t="s">
        <v>92</v>
      </c>
      <c r="B103" s="112"/>
      <c r="C103" s="112"/>
      <c r="D103" s="112"/>
      <c r="E103" s="112"/>
      <c r="F103" s="112"/>
      <c r="G103" s="112"/>
      <c r="H103" s="112"/>
      <c r="I103" s="112"/>
      <c r="J103" s="112"/>
    </row>
    <row r="104" spans="1:10" ht="16.149999999999999" customHeight="1">
      <c r="A104" s="96">
        <v>4</v>
      </c>
      <c r="B104" s="115" t="s">
        <v>93</v>
      </c>
      <c r="C104" s="115"/>
      <c r="D104" s="115"/>
      <c r="E104" s="115"/>
      <c r="F104" s="115"/>
      <c r="G104" s="115"/>
      <c r="H104" s="115"/>
      <c r="I104" s="115"/>
      <c r="J104" s="37" t="s">
        <v>37</v>
      </c>
    </row>
    <row r="105" spans="1:10" ht="14.65" customHeight="1">
      <c r="A105" s="1" t="s">
        <v>81</v>
      </c>
      <c r="B105" s="109" t="s">
        <v>94</v>
      </c>
      <c r="C105" s="109"/>
      <c r="D105" s="109"/>
      <c r="E105" s="109"/>
      <c r="F105" s="109"/>
      <c r="G105" s="109"/>
      <c r="H105" s="109"/>
      <c r="I105" s="109"/>
      <c r="J105" s="16">
        <f>J95</f>
        <v>161.61295052222223</v>
      </c>
    </row>
    <row r="106" spans="1:10" ht="14.65" customHeight="1">
      <c r="A106" s="1" t="s">
        <v>95</v>
      </c>
      <c r="B106" s="109" t="s">
        <v>96</v>
      </c>
      <c r="C106" s="109"/>
      <c r="D106" s="109"/>
      <c r="E106" s="109"/>
      <c r="F106" s="109"/>
      <c r="G106" s="109"/>
      <c r="H106" s="109"/>
      <c r="I106" s="109"/>
      <c r="J106" s="16">
        <f>J101</f>
        <v>0</v>
      </c>
    </row>
    <row r="107" spans="1:10" ht="14.65" customHeight="1">
      <c r="A107" s="116" t="s">
        <v>40</v>
      </c>
      <c r="B107" s="116"/>
      <c r="C107" s="116"/>
      <c r="D107" s="116"/>
      <c r="E107" s="116"/>
      <c r="F107" s="116"/>
      <c r="G107" s="116"/>
      <c r="H107" s="116"/>
      <c r="I107" s="116"/>
      <c r="J107" s="14">
        <f>SUM(J105+J106)</f>
        <v>161.61295052222223</v>
      </c>
    </row>
    <row r="108" spans="1:10" ht="13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</row>
    <row r="109" spans="1:10" ht="16.149999999999999" customHeight="1">
      <c r="A109" s="112" t="s">
        <v>97</v>
      </c>
      <c r="B109" s="112"/>
      <c r="C109" s="112"/>
      <c r="D109" s="112"/>
      <c r="E109" s="112"/>
      <c r="F109" s="112"/>
      <c r="G109" s="112"/>
      <c r="H109" s="112"/>
      <c r="I109" s="112"/>
      <c r="J109" s="112"/>
    </row>
    <row r="110" spans="1:10" ht="16.149999999999999" customHeight="1">
      <c r="A110" s="97">
        <v>5</v>
      </c>
      <c r="B110" s="113" t="s">
        <v>98</v>
      </c>
      <c r="C110" s="113"/>
      <c r="D110" s="113"/>
      <c r="E110" s="113"/>
      <c r="F110" s="113"/>
      <c r="G110" s="113"/>
      <c r="H110" s="113"/>
      <c r="I110" s="113"/>
      <c r="J110" s="97" t="s">
        <v>37</v>
      </c>
    </row>
    <row r="111" spans="1:10" ht="13">
      <c r="A111" s="8" t="s">
        <v>5</v>
      </c>
      <c r="B111" s="104" t="s">
        <v>185</v>
      </c>
      <c r="C111" s="104"/>
      <c r="D111" s="104"/>
      <c r="E111" s="104"/>
      <c r="F111" s="104"/>
      <c r="G111" s="104"/>
      <c r="H111" s="104"/>
      <c r="I111" s="104"/>
      <c r="J111" s="16">
        <f>Descritivo!E48</f>
        <v>91.369065656565652</v>
      </c>
    </row>
    <row r="112" spans="1:10" ht="13">
      <c r="A112" s="8" t="s">
        <v>7</v>
      </c>
      <c r="B112" s="104" t="s">
        <v>99</v>
      </c>
      <c r="C112" s="104"/>
      <c r="D112" s="104"/>
      <c r="E112" s="104"/>
      <c r="F112" s="104"/>
      <c r="G112" s="104"/>
      <c r="H112" s="104"/>
      <c r="I112" s="104"/>
      <c r="J112" s="27">
        <f>Descritivo!D93</f>
        <v>116.16919191919192</v>
      </c>
    </row>
    <row r="113" spans="1:10" ht="13">
      <c r="A113" s="8" t="s">
        <v>9</v>
      </c>
      <c r="B113" s="104" t="s">
        <v>139</v>
      </c>
      <c r="C113" s="104"/>
      <c r="D113" s="104"/>
      <c r="E113" s="104"/>
      <c r="F113" s="104"/>
      <c r="G113" s="104"/>
      <c r="H113" s="104"/>
      <c r="I113" s="104"/>
      <c r="J113" s="27">
        <f>Descritivo!C101</f>
        <v>36.363636363636367</v>
      </c>
    </row>
    <row r="114" spans="1:10" ht="13">
      <c r="A114" s="8" t="s">
        <v>12</v>
      </c>
      <c r="B114" s="104" t="s">
        <v>100</v>
      </c>
      <c r="C114" s="104"/>
      <c r="D114" s="104"/>
      <c r="E114" s="104"/>
      <c r="F114" s="104"/>
      <c r="G114" s="104"/>
      <c r="H114" s="104"/>
      <c r="I114" s="104"/>
      <c r="J114" s="27"/>
    </row>
    <row r="115" spans="1:10" ht="13">
      <c r="A115" s="105" t="s">
        <v>32</v>
      </c>
      <c r="B115" s="105"/>
      <c r="C115" s="105"/>
      <c r="D115" s="105"/>
      <c r="E115" s="105"/>
      <c r="F115" s="105"/>
      <c r="G115" s="105"/>
      <c r="H115" s="105"/>
      <c r="I115" s="105"/>
      <c r="J115" s="38">
        <f>SUM(J111:J114)</f>
        <v>243.90189393939394</v>
      </c>
    </row>
    <row r="116" spans="1:10" ht="13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</row>
    <row r="117" spans="1:10" ht="16.149999999999999" customHeight="1">
      <c r="A117" s="112" t="s">
        <v>101</v>
      </c>
      <c r="B117" s="112"/>
      <c r="C117" s="112"/>
      <c r="D117" s="112"/>
      <c r="E117" s="112"/>
      <c r="F117" s="112"/>
      <c r="G117" s="112"/>
      <c r="H117" s="112"/>
      <c r="I117" s="112"/>
      <c r="J117" s="112"/>
    </row>
    <row r="118" spans="1:10" ht="28">
      <c r="A118" s="97">
        <v>6</v>
      </c>
      <c r="B118" s="113" t="s">
        <v>102</v>
      </c>
      <c r="C118" s="113"/>
      <c r="D118" s="113"/>
      <c r="E118" s="113"/>
      <c r="F118" s="113"/>
      <c r="G118" s="113"/>
      <c r="H118" s="113"/>
      <c r="I118" s="96" t="s">
        <v>44</v>
      </c>
      <c r="J118" s="39" t="s">
        <v>103</v>
      </c>
    </row>
    <row r="119" spans="1:10" ht="12.75" customHeight="1">
      <c r="A119" s="111" t="s">
        <v>104</v>
      </c>
      <c r="B119" s="111"/>
      <c r="C119" s="111"/>
      <c r="D119" s="111"/>
      <c r="E119" s="111"/>
      <c r="F119" s="111"/>
      <c r="G119" s="111"/>
      <c r="H119" s="111"/>
      <c r="I119" s="40" t="s">
        <v>64</v>
      </c>
      <c r="J119" s="41">
        <f>SUM(J30+J71+J81+J107+J115)</f>
        <v>3602.5672427949494</v>
      </c>
    </row>
    <row r="120" spans="1:10" ht="15.5">
      <c r="A120" s="42" t="s">
        <v>5</v>
      </c>
      <c r="B120" s="110" t="s">
        <v>105</v>
      </c>
      <c r="C120" s="110"/>
      <c r="D120" s="110"/>
      <c r="E120" s="110"/>
      <c r="F120" s="110"/>
      <c r="G120" s="110"/>
      <c r="H120" s="110"/>
      <c r="I120" s="15">
        <v>0.1091</v>
      </c>
      <c r="J120" s="16">
        <f>ROUND(I120*J119,2)</f>
        <v>393.04</v>
      </c>
    </row>
    <row r="121" spans="1:10" ht="12.75" customHeight="1">
      <c r="A121" s="111" t="s">
        <v>106</v>
      </c>
      <c r="B121" s="111"/>
      <c r="C121" s="111"/>
      <c r="D121" s="111"/>
      <c r="E121" s="111"/>
      <c r="F121" s="111"/>
      <c r="G121" s="111"/>
      <c r="H121" s="111"/>
      <c r="I121" s="43" t="s">
        <v>64</v>
      </c>
      <c r="J121" s="41">
        <f>SUM(J30+J71+J81+J107+J115+J120)</f>
        <v>3995.6072427949493</v>
      </c>
    </row>
    <row r="122" spans="1:10" ht="15.5">
      <c r="A122" s="42" t="s">
        <v>7</v>
      </c>
      <c r="B122" s="110" t="s">
        <v>107</v>
      </c>
      <c r="C122" s="110"/>
      <c r="D122" s="110"/>
      <c r="E122" s="110"/>
      <c r="F122" s="110"/>
      <c r="G122" s="110"/>
      <c r="H122" s="110"/>
      <c r="I122" s="20">
        <v>0.15109700000000001</v>
      </c>
      <c r="J122" s="16">
        <f>ROUND(I122*J121,2)</f>
        <v>603.72</v>
      </c>
    </row>
    <row r="123" spans="1:10" ht="12.75" customHeight="1">
      <c r="A123" s="111" t="s">
        <v>108</v>
      </c>
      <c r="B123" s="111"/>
      <c r="C123" s="111"/>
      <c r="D123" s="111"/>
      <c r="E123" s="111"/>
      <c r="F123" s="111"/>
      <c r="G123" s="111"/>
      <c r="H123" s="111"/>
      <c r="I123" s="43" t="s">
        <v>64</v>
      </c>
      <c r="J123" s="41">
        <f>SUM(J30+J71+J81+J107+J115+J120+J122)</f>
        <v>4599.3272427949496</v>
      </c>
    </row>
    <row r="124" spans="1:10" ht="15.5">
      <c r="A124" s="42" t="s">
        <v>9</v>
      </c>
      <c r="B124" s="110" t="s">
        <v>109</v>
      </c>
      <c r="C124" s="110"/>
      <c r="D124" s="110"/>
      <c r="E124" s="110"/>
      <c r="F124" s="110"/>
      <c r="G124" s="110"/>
      <c r="H124" s="110"/>
      <c r="I124" s="9" t="s">
        <v>64</v>
      </c>
      <c r="J124" s="51" t="s">
        <v>64</v>
      </c>
    </row>
    <row r="125" spans="1:10" ht="13">
      <c r="A125" s="8"/>
      <c r="B125" s="104" t="s">
        <v>110</v>
      </c>
      <c r="C125" s="104"/>
      <c r="D125" s="104"/>
      <c r="E125" s="104"/>
      <c r="F125" s="104"/>
      <c r="G125" s="104"/>
      <c r="H125" s="104"/>
      <c r="I125" s="9" t="s">
        <v>64</v>
      </c>
      <c r="J125" s="51" t="s">
        <v>64</v>
      </c>
    </row>
    <row r="126" spans="1:10" ht="13">
      <c r="A126" s="8"/>
      <c r="B126" s="104" t="s">
        <v>111</v>
      </c>
      <c r="C126" s="104"/>
      <c r="D126" s="104"/>
      <c r="E126" s="104"/>
      <c r="F126" s="104"/>
      <c r="G126" s="104"/>
      <c r="H126" s="104"/>
      <c r="I126" s="44">
        <v>0.03</v>
      </c>
      <c r="J126" s="16">
        <f>ROUND(($J$123/(1-$I$135))*I126,2)</f>
        <v>151.05000000000001</v>
      </c>
    </row>
    <row r="127" spans="1:10" ht="13">
      <c r="A127" s="8"/>
      <c r="B127" s="104" t="s">
        <v>112</v>
      </c>
      <c r="C127" s="104"/>
      <c r="D127" s="104"/>
      <c r="E127" s="104"/>
      <c r="F127" s="104"/>
      <c r="G127" s="104"/>
      <c r="H127" s="104"/>
      <c r="I127" s="44">
        <v>6.4999999999999997E-3</v>
      </c>
      <c r="J127" s="16">
        <f>ROUND(($J$123/(1-$I$135))*I127,2)</f>
        <v>32.729999999999997</v>
      </c>
    </row>
    <row r="128" spans="1:10" ht="27.65" customHeight="1">
      <c r="A128" s="8"/>
      <c r="B128" s="109" t="s">
        <v>113</v>
      </c>
      <c r="C128" s="109"/>
      <c r="D128" s="109"/>
      <c r="E128" s="109"/>
      <c r="F128" s="109"/>
      <c r="G128" s="109"/>
      <c r="H128" s="109"/>
      <c r="I128" s="45" t="s">
        <v>64</v>
      </c>
      <c r="J128" s="51" t="s">
        <v>64</v>
      </c>
    </row>
    <row r="129" spans="1:10" ht="27.65" customHeight="1">
      <c r="A129" s="8"/>
      <c r="B129" s="109" t="s">
        <v>114</v>
      </c>
      <c r="C129" s="109"/>
      <c r="D129" s="109"/>
      <c r="E129" s="109"/>
      <c r="F129" s="109"/>
      <c r="G129" s="109"/>
      <c r="H129" s="109"/>
      <c r="I129" s="45" t="s">
        <v>64</v>
      </c>
      <c r="J129" s="51" t="s">
        <v>64</v>
      </c>
    </row>
    <row r="130" spans="1:10" ht="13">
      <c r="A130" s="8"/>
      <c r="B130" s="104" t="s">
        <v>115</v>
      </c>
      <c r="C130" s="104"/>
      <c r="D130" s="104"/>
      <c r="E130" s="104"/>
      <c r="F130" s="104"/>
      <c r="G130" s="104"/>
      <c r="H130" s="104"/>
      <c r="I130" s="45" t="s">
        <v>64</v>
      </c>
      <c r="J130" s="51" t="s">
        <v>64</v>
      </c>
    </row>
    <row r="131" spans="1:10" ht="13">
      <c r="A131" s="8"/>
      <c r="B131" s="104" t="s">
        <v>116</v>
      </c>
      <c r="C131" s="104"/>
      <c r="D131" s="104"/>
      <c r="E131" s="104"/>
      <c r="F131" s="104"/>
      <c r="G131" s="104"/>
      <c r="H131" s="104"/>
      <c r="I131" s="45" t="s">
        <v>64</v>
      </c>
      <c r="J131" s="51" t="s">
        <v>64</v>
      </c>
    </row>
    <row r="132" spans="1:10" ht="13">
      <c r="A132" s="8"/>
      <c r="B132" s="104" t="s">
        <v>134</v>
      </c>
      <c r="C132" s="104"/>
      <c r="D132" s="104"/>
      <c r="E132" s="104"/>
      <c r="F132" s="104"/>
      <c r="G132" s="104"/>
      <c r="H132" s="104"/>
      <c r="I132" s="44">
        <v>0.05</v>
      </c>
      <c r="J132" s="16">
        <f>ROUND(($J$123/(1-$I$135))*I132,2)</f>
        <v>251.74</v>
      </c>
    </row>
    <row r="133" spans="1:10" ht="13">
      <c r="A133" s="105" t="s">
        <v>40</v>
      </c>
      <c r="B133" s="105"/>
      <c r="C133" s="105"/>
      <c r="D133" s="105"/>
      <c r="E133" s="105"/>
      <c r="F133" s="105"/>
      <c r="G133" s="105"/>
      <c r="H133" s="105"/>
      <c r="I133" s="105"/>
      <c r="J133" s="14">
        <f>SUM(J120+J122+J126+J127+J132)</f>
        <v>1432.28</v>
      </c>
    </row>
    <row r="134" spans="1:10" ht="13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</row>
    <row r="135" spans="1:10" ht="14.65" customHeight="1">
      <c r="A135" s="106" t="s">
        <v>117</v>
      </c>
      <c r="B135" s="106"/>
      <c r="C135" s="106"/>
      <c r="D135" s="106"/>
      <c r="E135" s="106"/>
      <c r="F135" s="106"/>
      <c r="G135" s="106"/>
      <c r="H135" s="106"/>
      <c r="I135" s="46">
        <f>SUM(I126:I132)</f>
        <v>8.6499999999999994E-2</v>
      </c>
      <c r="J135" s="41">
        <f>SUM(J126:J132)</f>
        <v>435.52</v>
      </c>
    </row>
    <row r="136" spans="1:10">
      <c r="A136" s="107" t="s">
        <v>118</v>
      </c>
      <c r="B136" s="107"/>
      <c r="C136" s="107"/>
      <c r="D136" s="108" t="s">
        <v>119</v>
      </c>
      <c r="E136" s="108"/>
      <c r="F136" s="108"/>
      <c r="G136" s="108"/>
      <c r="H136" s="108"/>
      <c r="I136" s="108"/>
      <c r="J136" s="108"/>
    </row>
    <row r="137" spans="1:10">
      <c r="A137" s="107"/>
      <c r="B137" s="107"/>
      <c r="C137" s="107"/>
      <c r="D137" s="108" t="s">
        <v>120</v>
      </c>
      <c r="E137" s="108"/>
      <c r="F137" s="108"/>
      <c r="G137" s="108"/>
      <c r="H137" s="108"/>
      <c r="I137" s="108"/>
      <c r="J137" s="108"/>
    </row>
    <row r="138" spans="1:10">
      <c r="A138" s="107"/>
      <c r="B138" s="107"/>
      <c r="C138" s="107"/>
      <c r="D138" s="108" t="s">
        <v>121</v>
      </c>
      <c r="E138" s="108"/>
      <c r="F138" s="108"/>
      <c r="G138" s="108"/>
      <c r="H138" s="108"/>
      <c r="I138" s="108"/>
      <c r="J138" s="108"/>
    </row>
    <row r="139" spans="1:10" ht="13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</row>
    <row r="140" spans="1:10" ht="46" customHeight="1">
      <c r="A140" s="102" t="s">
        <v>122</v>
      </c>
      <c r="B140" s="102"/>
      <c r="C140" s="102"/>
      <c r="D140" s="102"/>
      <c r="E140" s="102"/>
      <c r="F140" s="102"/>
      <c r="G140" s="102"/>
      <c r="H140" s="102"/>
      <c r="I140" s="102"/>
      <c r="J140" s="102"/>
    </row>
    <row r="141" spans="1:10" ht="14.65" customHeight="1">
      <c r="A141" s="103" t="s">
        <v>123</v>
      </c>
      <c r="B141" s="103"/>
      <c r="C141" s="103"/>
      <c r="D141" s="103"/>
      <c r="E141" s="103"/>
      <c r="F141" s="103"/>
      <c r="G141" s="103"/>
      <c r="H141" s="103"/>
      <c r="I141" s="103"/>
      <c r="J141" s="47" t="s">
        <v>37</v>
      </c>
    </row>
    <row r="142" spans="1:10" ht="14.65" customHeight="1">
      <c r="A142" s="48" t="s">
        <v>5</v>
      </c>
      <c r="B142" s="99" t="s">
        <v>124</v>
      </c>
      <c r="C142" s="99"/>
      <c r="D142" s="99"/>
      <c r="E142" s="99"/>
      <c r="F142" s="99"/>
      <c r="G142" s="99"/>
      <c r="H142" s="99"/>
      <c r="I142" s="99"/>
      <c r="J142" s="27">
        <f>J30</f>
        <v>1746.924</v>
      </c>
    </row>
    <row r="143" spans="1:10" ht="14.65" customHeight="1">
      <c r="A143" s="48" t="s">
        <v>7</v>
      </c>
      <c r="B143" s="99" t="s">
        <v>33</v>
      </c>
      <c r="C143" s="99"/>
      <c r="D143" s="99"/>
      <c r="E143" s="99"/>
      <c r="F143" s="99"/>
      <c r="G143" s="99"/>
      <c r="H143" s="99"/>
      <c r="I143" s="99"/>
      <c r="J143" s="27">
        <f>J71</f>
        <v>1376.09</v>
      </c>
    </row>
    <row r="144" spans="1:10" ht="14.65" customHeight="1">
      <c r="A144" s="48" t="s">
        <v>9</v>
      </c>
      <c r="B144" s="99" t="s">
        <v>125</v>
      </c>
      <c r="C144" s="99"/>
      <c r="D144" s="99"/>
      <c r="E144" s="99"/>
      <c r="F144" s="99"/>
      <c r="G144" s="99"/>
      <c r="H144" s="99"/>
      <c r="I144" s="99"/>
      <c r="J144" s="27">
        <f>J81</f>
        <v>74.038398333333333</v>
      </c>
    </row>
    <row r="145" spans="1:12" ht="14.65" customHeight="1">
      <c r="A145" s="48" t="s">
        <v>12</v>
      </c>
      <c r="B145" s="99" t="s">
        <v>126</v>
      </c>
      <c r="C145" s="99"/>
      <c r="D145" s="99"/>
      <c r="E145" s="99"/>
      <c r="F145" s="99"/>
      <c r="G145" s="99"/>
      <c r="H145" s="99"/>
      <c r="I145" s="99"/>
      <c r="J145" s="27">
        <f>J107</f>
        <v>161.61295052222223</v>
      </c>
    </row>
    <row r="146" spans="1:12" ht="14.65" customHeight="1">
      <c r="A146" s="48" t="s">
        <v>29</v>
      </c>
      <c r="B146" s="99" t="s">
        <v>127</v>
      </c>
      <c r="C146" s="99"/>
      <c r="D146" s="99"/>
      <c r="E146" s="99"/>
      <c r="F146" s="99"/>
      <c r="G146" s="99"/>
      <c r="H146" s="99"/>
      <c r="I146" s="99"/>
      <c r="J146" s="27">
        <f>J115</f>
        <v>243.90189393939394</v>
      </c>
    </row>
    <row r="147" spans="1:12" ht="14.65" customHeight="1">
      <c r="A147" s="100" t="s">
        <v>128</v>
      </c>
      <c r="B147" s="100"/>
      <c r="C147" s="100"/>
      <c r="D147" s="100"/>
      <c r="E147" s="100"/>
      <c r="F147" s="100"/>
      <c r="G147" s="100"/>
      <c r="H147" s="100"/>
      <c r="I147" s="100"/>
      <c r="J147" s="38">
        <f>SUM(J142:J146)</f>
        <v>3602.5672427949494</v>
      </c>
    </row>
    <row r="148" spans="1:12" ht="14.65" customHeight="1">
      <c r="A148" s="48" t="s">
        <v>53</v>
      </c>
      <c r="B148" s="99" t="s">
        <v>129</v>
      </c>
      <c r="C148" s="99"/>
      <c r="D148" s="99"/>
      <c r="E148" s="99"/>
      <c r="F148" s="99"/>
      <c r="G148" s="99"/>
      <c r="H148" s="99"/>
      <c r="I148" s="99"/>
      <c r="J148" s="27">
        <f>J133</f>
        <v>1432.28</v>
      </c>
    </row>
    <row r="149" spans="1:12" ht="14.65" customHeight="1">
      <c r="A149" s="100" t="s">
        <v>130</v>
      </c>
      <c r="B149" s="100"/>
      <c r="C149" s="100"/>
      <c r="D149" s="100"/>
      <c r="E149" s="100"/>
      <c r="F149" s="100"/>
      <c r="G149" s="100"/>
      <c r="H149" s="100"/>
      <c r="I149" s="100"/>
      <c r="J149" s="38">
        <f>SUM(J147:J148)</f>
        <v>5034.8472427949491</v>
      </c>
    </row>
    <row r="150" spans="1:12" ht="27.5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B60:H60"/>
    <mergeCell ref="B61:H61"/>
    <mergeCell ref="B62:H62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A1:J1"/>
    <mergeCell ref="A2:J2"/>
    <mergeCell ref="A3:G3"/>
    <mergeCell ref="H3:J3"/>
    <mergeCell ref="A4:G4"/>
    <mergeCell ref="H4:J4"/>
    <mergeCell ref="B9:G9"/>
    <mergeCell ref="H9:J9"/>
    <mergeCell ref="B10:G10"/>
    <mergeCell ref="H10:J10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CF574-6B94-4342-8786-DB8AF2450C13}">
  <sheetPr>
    <tabColor rgb="FF0070C0"/>
  </sheetPr>
  <dimension ref="A1:Q172"/>
  <sheetViews>
    <sheetView showGridLines="0" view="pageBreakPreview" topLeftCell="A40" zoomScaleNormal="100" zoomScaleSheetLayoutView="100" zoomScalePageLayoutView="95" workbookViewId="0">
      <selection activeCell="J64" sqref="J64"/>
    </sheetView>
  </sheetViews>
  <sheetFormatPr defaultRowHeight="12.5"/>
  <cols>
    <col min="1" max="9" width="8.7265625" customWidth="1"/>
    <col min="10" max="10" width="15.453125" customWidth="1"/>
    <col min="11" max="11" width="17.453125" customWidth="1"/>
    <col min="12" max="12" width="17" customWidth="1"/>
    <col min="13" max="16" width="8.7265625" customWidth="1"/>
    <col min="17" max="17" width="10.81640625" customWidth="1"/>
    <col min="18" max="1025" width="8.7265625" customWidth="1"/>
  </cols>
  <sheetData>
    <row r="1" spans="1:12" ht="24.25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2" ht="46.5" customHeight="1">
      <c r="A2" s="136" t="s">
        <v>297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2" ht="14.65" customHeight="1">
      <c r="A3" s="109" t="s">
        <v>1</v>
      </c>
      <c r="B3" s="109"/>
      <c r="C3" s="109"/>
      <c r="D3" s="109"/>
      <c r="E3" s="109"/>
      <c r="F3" s="109"/>
      <c r="G3" s="109"/>
      <c r="H3" s="138" t="s">
        <v>145</v>
      </c>
      <c r="I3" s="139"/>
      <c r="J3" s="139"/>
    </row>
    <row r="4" spans="1:12" ht="14.65" customHeight="1">
      <c r="A4" s="109" t="s">
        <v>2</v>
      </c>
      <c r="B4" s="109"/>
      <c r="C4" s="109"/>
      <c r="D4" s="109"/>
      <c r="E4" s="109"/>
      <c r="F4" s="109"/>
      <c r="G4" s="109"/>
      <c r="H4" s="140" t="s">
        <v>144</v>
      </c>
      <c r="I4" s="139"/>
      <c r="J4" s="139"/>
    </row>
    <row r="5" spans="1:12" ht="14.65" customHeight="1">
      <c r="A5" s="109" t="s">
        <v>3</v>
      </c>
      <c r="B5" s="109"/>
      <c r="C5" s="109"/>
      <c r="D5" s="109"/>
      <c r="E5" s="109"/>
      <c r="F5" s="109"/>
      <c r="G5" s="109"/>
      <c r="H5" s="109"/>
      <c r="I5" s="109"/>
      <c r="J5" s="109"/>
    </row>
    <row r="6" spans="1:12" ht="16.149999999999999" customHeight="1">
      <c r="A6" s="142" t="s">
        <v>4</v>
      </c>
      <c r="B6" s="142"/>
      <c r="C6" s="142"/>
      <c r="D6" s="142"/>
      <c r="E6" s="142"/>
      <c r="F6" s="142"/>
      <c r="G6" s="142"/>
      <c r="H6" s="142"/>
      <c r="I6" s="142"/>
      <c r="J6" s="142"/>
    </row>
    <row r="7" spans="1:12" ht="14.65" customHeight="1">
      <c r="A7" s="1" t="s">
        <v>5</v>
      </c>
      <c r="B7" s="109" t="s">
        <v>6</v>
      </c>
      <c r="C7" s="109"/>
      <c r="D7" s="109"/>
      <c r="E7" s="109"/>
      <c r="F7" s="109"/>
      <c r="G7" s="109"/>
      <c r="H7" s="141">
        <v>44029</v>
      </c>
      <c r="I7" s="141"/>
      <c r="J7" s="141"/>
    </row>
    <row r="8" spans="1:12" ht="14.65" customHeight="1">
      <c r="A8" s="1" t="s">
        <v>7</v>
      </c>
      <c r="B8" s="109" t="s">
        <v>8</v>
      </c>
      <c r="C8" s="109"/>
      <c r="D8" s="109"/>
      <c r="E8" s="109"/>
      <c r="F8" s="109"/>
      <c r="G8" s="109"/>
      <c r="H8" s="141" t="s">
        <v>140</v>
      </c>
      <c r="I8" s="141"/>
      <c r="J8" s="141"/>
    </row>
    <row r="9" spans="1:12" ht="39" customHeight="1">
      <c r="A9" s="1" t="s">
        <v>9</v>
      </c>
      <c r="B9" s="109" t="s">
        <v>10</v>
      </c>
      <c r="C9" s="109"/>
      <c r="D9" s="109"/>
      <c r="E9" s="109"/>
      <c r="F9" s="109"/>
      <c r="G9" s="109"/>
      <c r="H9" s="141" t="s">
        <v>11</v>
      </c>
      <c r="I9" s="141"/>
      <c r="J9" s="141"/>
      <c r="L9" s="55"/>
    </row>
    <row r="10" spans="1:12" ht="14.65" customHeight="1">
      <c r="A10" s="1" t="s">
        <v>12</v>
      </c>
      <c r="B10" s="109" t="s">
        <v>13</v>
      </c>
      <c r="C10" s="109"/>
      <c r="D10" s="109"/>
      <c r="E10" s="109"/>
      <c r="F10" s="109"/>
      <c r="G10" s="109"/>
      <c r="H10" s="139">
        <v>12</v>
      </c>
      <c r="I10" s="139"/>
      <c r="J10" s="139"/>
    </row>
    <row r="11" spans="1:12" ht="13">
      <c r="A11" s="101"/>
      <c r="B11" s="101"/>
      <c r="C11" s="101"/>
      <c r="D11" s="101"/>
      <c r="E11" s="101"/>
      <c r="F11" s="101"/>
      <c r="G11" s="101"/>
      <c r="H11" s="101"/>
      <c r="I11" s="101"/>
      <c r="J11" s="101"/>
    </row>
    <row r="12" spans="1:12" ht="48.75" customHeight="1">
      <c r="A12" s="132" t="s">
        <v>14</v>
      </c>
      <c r="B12" s="132"/>
      <c r="C12" s="132"/>
      <c r="D12" s="132"/>
      <c r="E12" s="132"/>
      <c r="F12" s="132"/>
      <c r="G12" s="132"/>
      <c r="H12" s="132"/>
      <c r="I12" s="132"/>
      <c r="J12" s="132"/>
      <c r="L12" s="55"/>
    </row>
    <row r="13" spans="1:12" ht="13">
      <c r="A13" s="101"/>
      <c r="B13" s="101"/>
      <c r="C13" s="101"/>
      <c r="D13" s="101"/>
      <c r="E13" s="101"/>
      <c r="F13" s="101"/>
      <c r="G13" s="101"/>
      <c r="H13" s="101"/>
      <c r="I13" s="101"/>
      <c r="J13" s="101"/>
    </row>
    <row r="14" spans="1:12" ht="16.149999999999999" customHeight="1">
      <c r="A14" s="115" t="s">
        <v>15</v>
      </c>
      <c r="B14" s="115"/>
      <c r="C14" s="115"/>
      <c r="D14" s="115"/>
      <c r="E14" s="115"/>
      <c r="F14" s="115"/>
      <c r="G14" s="115"/>
      <c r="H14" s="115"/>
      <c r="I14" s="115"/>
      <c r="J14" s="115"/>
      <c r="L14" s="55"/>
    </row>
    <row r="15" spans="1:12" ht="16.149999999999999" customHeight="1">
      <c r="A15" s="1">
        <v>1</v>
      </c>
      <c r="B15" s="109" t="s">
        <v>16</v>
      </c>
      <c r="C15" s="109"/>
      <c r="D15" s="109"/>
      <c r="E15" s="109"/>
      <c r="F15" s="109"/>
      <c r="G15" s="109"/>
      <c r="H15" s="134" t="s">
        <v>17</v>
      </c>
      <c r="I15" s="134"/>
      <c r="J15" s="134"/>
    </row>
    <row r="16" spans="1:12" ht="16.149999999999999" customHeight="1">
      <c r="A16" s="1">
        <v>2</v>
      </c>
      <c r="B16" s="109" t="s">
        <v>18</v>
      </c>
      <c r="C16" s="109"/>
      <c r="D16" s="109"/>
      <c r="E16" s="109"/>
      <c r="F16" s="109"/>
      <c r="G16" s="109"/>
      <c r="H16" s="134">
        <v>9511</v>
      </c>
      <c r="I16" s="134"/>
      <c r="J16" s="134"/>
    </row>
    <row r="17" spans="1:17" ht="16.149999999999999" customHeight="1">
      <c r="A17" s="1">
        <v>3</v>
      </c>
      <c r="B17" s="109" t="s">
        <v>19</v>
      </c>
      <c r="C17" s="109"/>
      <c r="D17" s="109"/>
      <c r="E17" s="109"/>
      <c r="F17" s="109"/>
      <c r="G17" s="109"/>
      <c r="H17" s="143">
        <v>1601.35</v>
      </c>
      <c r="I17" s="143"/>
      <c r="J17" s="143"/>
    </row>
    <row r="18" spans="1:17" ht="16.149999999999999" customHeight="1">
      <c r="A18" s="1">
        <v>4</v>
      </c>
      <c r="B18" s="109" t="s">
        <v>20</v>
      </c>
      <c r="C18" s="109"/>
      <c r="D18" s="109"/>
      <c r="E18" s="109"/>
      <c r="F18" s="109"/>
      <c r="G18" s="109"/>
      <c r="H18" s="134" t="s">
        <v>178</v>
      </c>
      <c r="I18" s="134"/>
      <c r="J18" s="134"/>
    </row>
    <row r="19" spans="1:17" ht="16.149999999999999" customHeight="1">
      <c r="A19" s="1">
        <v>5</v>
      </c>
      <c r="B19" s="109" t="s">
        <v>21</v>
      </c>
      <c r="C19" s="109"/>
      <c r="D19" s="109"/>
      <c r="E19" s="109"/>
      <c r="F19" s="109"/>
      <c r="G19" s="109"/>
      <c r="H19" s="133" t="s">
        <v>141</v>
      </c>
      <c r="I19" s="133"/>
      <c r="J19" s="133"/>
    </row>
    <row r="20" spans="1:17" ht="16.149999999999999" customHeight="1">
      <c r="A20" s="1">
        <v>5</v>
      </c>
      <c r="B20" s="109" t="s">
        <v>133</v>
      </c>
      <c r="C20" s="109"/>
      <c r="D20" s="109"/>
      <c r="E20" s="109"/>
      <c r="F20" s="109"/>
      <c r="G20" s="109"/>
      <c r="H20" s="131">
        <v>44</v>
      </c>
      <c r="I20" s="131"/>
      <c r="J20" s="131"/>
    </row>
    <row r="21" spans="1:17" ht="13">
      <c r="A21" s="101"/>
      <c r="B21" s="101"/>
      <c r="C21" s="101"/>
      <c r="D21" s="101"/>
      <c r="E21" s="101"/>
      <c r="F21" s="101"/>
      <c r="G21" s="101"/>
      <c r="H21" s="101"/>
      <c r="I21" s="101"/>
      <c r="J21" s="101"/>
    </row>
    <row r="22" spans="1:17" ht="20.65" customHeight="1">
      <c r="A22" s="132" t="s">
        <v>22</v>
      </c>
      <c r="B22" s="132"/>
      <c r="C22" s="132"/>
      <c r="D22" s="132"/>
      <c r="E22" s="132"/>
      <c r="F22" s="132"/>
      <c r="G22" s="132"/>
      <c r="H22" s="132"/>
      <c r="I22" s="132"/>
      <c r="J22" s="132"/>
    </row>
    <row r="23" spans="1:17" ht="30.4" customHeight="1">
      <c r="A23" s="64">
        <v>1</v>
      </c>
      <c r="B23" s="115" t="s">
        <v>23</v>
      </c>
      <c r="C23" s="115"/>
      <c r="D23" s="115"/>
      <c r="E23" s="115"/>
      <c r="F23" s="115"/>
      <c r="G23" s="115"/>
      <c r="H23" s="115" t="s">
        <v>24</v>
      </c>
      <c r="I23" s="115"/>
      <c r="J23" s="64" t="s">
        <v>25</v>
      </c>
    </row>
    <row r="24" spans="1:17" ht="12.75" customHeight="1">
      <c r="A24" s="1" t="s">
        <v>5</v>
      </c>
      <c r="B24" s="109" t="s">
        <v>143</v>
      </c>
      <c r="C24" s="109"/>
      <c r="D24" s="109"/>
      <c r="E24" s="109"/>
      <c r="F24" s="109"/>
      <c r="G24" s="109"/>
      <c r="H24" s="109"/>
      <c r="I24" s="109"/>
      <c r="J24" s="2">
        <f>ROUND(H17/44*H20,2)</f>
        <v>1601.35</v>
      </c>
    </row>
    <row r="25" spans="1:17" ht="12.75" customHeight="1">
      <c r="A25" s="66" t="s">
        <v>7</v>
      </c>
      <c r="B25" s="109" t="s">
        <v>26</v>
      </c>
      <c r="C25" s="109"/>
      <c r="D25" s="109"/>
      <c r="E25" s="109"/>
      <c r="F25" s="109"/>
      <c r="G25" s="109"/>
      <c r="H25" s="109"/>
      <c r="I25" s="3"/>
      <c r="J25" s="2"/>
      <c r="K25" s="57"/>
    </row>
    <row r="26" spans="1:17" ht="12.75" customHeight="1">
      <c r="A26" s="66" t="s">
        <v>9</v>
      </c>
      <c r="B26" s="109" t="s">
        <v>27</v>
      </c>
      <c r="C26" s="109"/>
      <c r="D26" s="109"/>
      <c r="E26" s="109"/>
      <c r="F26" s="109"/>
      <c r="G26" s="109"/>
      <c r="H26" s="109"/>
      <c r="I26" s="109"/>
      <c r="J26" s="2"/>
    </row>
    <row r="27" spans="1:17" ht="12.75" customHeight="1">
      <c r="A27" s="66" t="s">
        <v>12</v>
      </c>
      <c r="B27" s="109" t="s">
        <v>295</v>
      </c>
      <c r="C27" s="109"/>
      <c r="D27" s="109"/>
      <c r="E27" s="109"/>
      <c r="F27" s="109"/>
      <c r="G27" s="109"/>
      <c r="H27" s="109"/>
      <c r="I27" s="109"/>
      <c r="J27" s="2">
        <f>J24*15%</f>
        <v>240.20249999999999</v>
      </c>
    </row>
    <row r="28" spans="1:17" ht="12.75" customHeight="1">
      <c r="A28" s="66" t="s">
        <v>29</v>
      </c>
      <c r="B28" s="109" t="s">
        <v>183</v>
      </c>
      <c r="C28" s="109"/>
      <c r="D28" s="109"/>
      <c r="E28" s="109"/>
      <c r="F28" s="109"/>
      <c r="G28" s="109"/>
      <c r="H28" s="109"/>
      <c r="I28" s="109"/>
      <c r="J28" s="2">
        <f>(J29+J24+J27)/3</f>
        <v>720.60749999999996</v>
      </c>
      <c r="Q28" s="54"/>
    </row>
    <row r="29" spans="1:17" ht="12.75" customHeight="1">
      <c r="A29" s="1" t="s">
        <v>7</v>
      </c>
      <c r="B29" s="109" t="s">
        <v>31</v>
      </c>
      <c r="C29" s="109"/>
      <c r="D29" s="109"/>
      <c r="E29" s="109"/>
      <c r="F29" s="109"/>
      <c r="G29" s="109"/>
      <c r="H29" s="109"/>
      <c r="I29" s="4">
        <v>0.2</v>
      </c>
      <c r="J29" s="2">
        <f>I29*J24</f>
        <v>320.27</v>
      </c>
      <c r="Q29" s="54"/>
    </row>
    <row r="30" spans="1:17" ht="15.75" customHeight="1">
      <c r="A30" s="116" t="s">
        <v>32</v>
      </c>
      <c r="B30" s="116"/>
      <c r="C30" s="116"/>
      <c r="D30" s="116"/>
      <c r="E30" s="116"/>
      <c r="F30" s="116"/>
      <c r="G30" s="116"/>
      <c r="H30" s="116"/>
      <c r="I30" s="116"/>
      <c r="J30" s="5">
        <f>SUM(J24:J29)</f>
        <v>2882.43</v>
      </c>
    </row>
    <row r="31" spans="1:17" ht="13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Q31" s="54"/>
    </row>
    <row r="32" spans="1:17" ht="16.149999999999999" customHeight="1">
      <c r="A32" s="112" t="s">
        <v>33</v>
      </c>
      <c r="B32" s="112"/>
      <c r="C32" s="112"/>
      <c r="D32" s="112"/>
      <c r="E32" s="112"/>
      <c r="F32" s="112"/>
      <c r="G32" s="112"/>
      <c r="H32" s="112"/>
      <c r="I32" s="112"/>
      <c r="J32" s="112"/>
    </row>
    <row r="33" spans="1:13" ht="14">
      <c r="A33" s="129" t="s">
        <v>34</v>
      </c>
      <c r="B33" s="129"/>
      <c r="C33" s="129"/>
      <c r="D33" s="129"/>
      <c r="E33" s="129"/>
      <c r="F33" s="129"/>
      <c r="G33" s="129"/>
      <c r="H33" s="129"/>
      <c r="I33" s="129"/>
      <c r="J33" s="129"/>
    </row>
    <row r="34" spans="1:13" ht="14">
      <c r="A34" s="6" t="s">
        <v>35</v>
      </c>
      <c r="B34" s="130" t="s">
        <v>36</v>
      </c>
      <c r="C34" s="130"/>
      <c r="D34" s="130"/>
      <c r="E34" s="130"/>
      <c r="F34" s="130"/>
      <c r="G34" s="130"/>
      <c r="H34" s="130"/>
      <c r="I34" s="130"/>
      <c r="J34" s="7" t="s">
        <v>37</v>
      </c>
    </row>
    <row r="35" spans="1:13" ht="27.65" customHeight="1">
      <c r="A35" s="8" t="s">
        <v>5</v>
      </c>
      <c r="B35" s="109" t="s">
        <v>38</v>
      </c>
      <c r="C35" s="109"/>
      <c r="D35" s="109"/>
      <c r="E35" s="109"/>
      <c r="F35" s="109"/>
      <c r="G35" s="109"/>
      <c r="H35" s="109"/>
      <c r="I35" s="9">
        <v>8.3299999999999999E-2</v>
      </c>
      <c r="J35" s="10">
        <f>ROUND($J$30*I35,2)</f>
        <v>240.11</v>
      </c>
      <c r="M35" s="55"/>
    </row>
    <row r="36" spans="1:13" ht="36.25" customHeight="1">
      <c r="A36" s="8" t="s">
        <v>7</v>
      </c>
      <c r="B36" s="120" t="s">
        <v>39</v>
      </c>
      <c r="C36" s="120"/>
      <c r="D36" s="120"/>
      <c r="E36" s="120"/>
      <c r="F36" s="120"/>
      <c r="G36" s="120"/>
      <c r="H36" s="120"/>
      <c r="I36" s="11">
        <v>3.0249999999999999E-2</v>
      </c>
      <c r="J36" s="10">
        <f>ROUND($J$30*I36,2)</f>
        <v>87.19</v>
      </c>
    </row>
    <row r="37" spans="1:13" ht="13">
      <c r="A37" s="128" t="s">
        <v>40</v>
      </c>
      <c r="B37" s="128"/>
      <c r="C37" s="128"/>
      <c r="D37" s="128"/>
      <c r="E37" s="128"/>
      <c r="F37" s="128"/>
      <c r="G37" s="128"/>
      <c r="H37" s="128"/>
      <c r="I37" s="128"/>
      <c r="J37" s="65">
        <f>SUM(J35+J36)</f>
        <v>327.3</v>
      </c>
    </row>
    <row r="38" spans="1:13" ht="13">
      <c r="A38" s="101"/>
      <c r="B38" s="101"/>
      <c r="C38" s="101"/>
      <c r="D38" s="101"/>
      <c r="E38" s="101"/>
      <c r="F38" s="101"/>
      <c r="G38" s="101"/>
      <c r="H38" s="101"/>
      <c r="I38" s="101"/>
      <c r="J38" s="101"/>
    </row>
    <row r="39" spans="1:13" ht="30.4" customHeight="1">
      <c r="A39" s="112" t="s">
        <v>41</v>
      </c>
      <c r="B39" s="112"/>
      <c r="C39" s="112"/>
      <c r="D39" s="112"/>
      <c r="E39" s="112"/>
      <c r="F39" s="112"/>
      <c r="G39" s="112"/>
      <c r="H39" s="112"/>
      <c r="I39" s="112"/>
      <c r="J39" s="112"/>
    </row>
    <row r="40" spans="1:13" ht="30.4" customHeight="1">
      <c r="A40" s="63" t="s">
        <v>42</v>
      </c>
      <c r="B40" s="113" t="s">
        <v>43</v>
      </c>
      <c r="C40" s="113"/>
      <c r="D40" s="113"/>
      <c r="E40" s="113"/>
      <c r="F40" s="113"/>
      <c r="G40" s="113"/>
      <c r="H40" s="113"/>
      <c r="I40" s="64" t="s">
        <v>44</v>
      </c>
      <c r="J40" s="64" t="s">
        <v>45</v>
      </c>
    </row>
    <row r="41" spans="1:13" ht="13">
      <c r="A41" s="8" t="s">
        <v>5</v>
      </c>
      <c r="B41" s="104" t="s">
        <v>46</v>
      </c>
      <c r="C41" s="104"/>
      <c r="D41" s="104"/>
      <c r="E41" s="104"/>
      <c r="F41" s="104"/>
      <c r="G41" s="104"/>
      <c r="H41" s="104"/>
      <c r="I41" s="15">
        <v>0.2</v>
      </c>
      <c r="J41" s="16">
        <f>ROUND(($J$30+$J$37)*I41,2)</f>
        <v>641.95000000000005</v>
      </c>
    </row>
    <row r="42" spans="1:13" ht="13">
      <c r="A42" s="8" t="s">
        <v>7</v>
      </c>
      <c r="B42" s="104" t="s">
        <v>47</v>
      </c>
      <c r="C42" s="104"/>
      <c r="D42" s="104"/>
      <c r="E42" s="104"/>
      <c r="F42" s="104"/>
      <c r="G42" s="104"/>
      <c r="H42" s="104"/>
      <c r="I42" s="15">
        <v>2.5000000000000001E-2</v>
      </c>
      <c r="J42" s="16">
        <f t="shared" ref="J42:J48" si="0">ROUND(($J$30+$J$37)*I42,2)</f>
        <v>80.239999999999995</v>
      </c>
    </row>
    <row r="43" spans="1:13" ht="23.9" customHeight="1">
      <c r="A43" s="8" t="s">
        <v>9</v>
      </c>
      <c r="B43" s="109" t="s">
        <v>48</v>
      </c>
      <c r="C43" s="109"/>
      <c r="D43" s="109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32.1</v>
      </c>
    </row>
    <row r="44" spans="1:13" ht="13">
      <c r="A44" s="8" t="s">
        <v>12</v>
      </c>
      <c r="B44" s="104" t="s">
        <v>51</v>
      </c>
      <c r="C44" s="104"/>
      <c r="D44" s="104"/>
      <c r="E44" s="104"/>
      <c r="F44" s="104"/>
      <c r="G44" s="104"/>
      <c r="H44" s="104"/>
      <c r="I44" s="15">
        <v>1.4999999999999999E-2</v>
      </c>
      <c r="J44" s="16">
        <f t="shared" si="0"/>
        <v>48.15</v>
      </c>
    </row>
    <row r="45" spans="1:13" ht="13">
      <c r="A45" s="8" t="s">
        <v>29</v>
      </c>
      <c r="B45" s="104" t="s">
        <v>52</v>
      </c>
      <c r="C45" s="104"/>
      <c r="D45" s="104"/>
      <c r="E45" s="104"/>
      <c r="F45" s="104"/>
      <c r="G45" s="104"/>
      <c r="H45" s="104"/>
      <c r="I45" s="15">
        <v>0.01</v>
      </c>
      <c r="J45" s="16">
        <f t="shared" si="0"/>
        <v>32.1</v>
      </c>
    </row>
    <row r="46" spans="1:13" ht="13">
      <c r="A46" s="8" t="s">
        <v>53</v>
      </c>
      <c r="B46" s="104" t="s">
        <v>54</v>
      </c>
      <c r="C46" s="104"/>
      <c r="D46" s="104"/>
      <c r="E46" s="104"/>
      <c r="F46" s="104"/>
      <c r="G46" s="104"/>
      <c r="H46" s="104"/>
      <c r="I46" s="15">
        <v>6.0000000000000001E-3</v>
      </c>
      <c r="J46" s="16">
        <f t="shared" si="0"/>
        <v>19.260000000000002</v>
      </c>
    </row>
    <row r="47" spans="1:13" ht="13">
      <c r="A47" s="8" t="s">
        <v>55</v>
      </c>
      <c r="B47" s="104" t="s">
        <v>56</v>
      </c>
      <c r="C47" s="104"/>
      <c r="D47" s="104"/>
      <c r="E47" s="104"/>
      <c r="F47" s="104"/>
      <c r="G47" s="104"/>
      <c r="H47" s="104"/>
      <c r="I47" s="15">
        <v>2E-3</v>
      </c>
      <c r="J47" s="16">
        <f t="shared" si="0"/>
        <v>6.42</v>
      </c>
    </row>
    <row r="48" spans="1:13" ht="13">
      <c r="A48" s="8" t="s">
        <v>57</v>
      </c>
      <c r="B48" s="104" t="s">
        <v>58</v>
      </c>
      <c r="C48" s="104"/>
      <c r="D48" s="104"/>
      <c r="E48" s="104"/>
      <c r="F48" s="104"/>
      <c r="G48" s="104"/>
      <c r="H48" s="104"/>
      <c r="I48" s="15">
        <v>0.08</v>
      </c>
      <c r="J48" s="16">
        <f t="shared" si="0"/>
        <v>256.77999999999997</v>
      </c>
    </row>
    <row r="49" spans="1:12" ht="13">
      <c r="A49" s="105" t="s">
        <v>40</v>
      </c>
      <c r="B49" s="105"/>
      <c r="C49" s="105"/>
      <c r="D49" s="105"/>
      <c r="E49" s="105"/>
      <c r="F49" s="105"/>
      <c r="G49" s="105"/>
      <c r="H49" s="105"/>
      <c r="I49" s="21">
        <f>SUM(I41:I48)</f>
        <v>0.34800000000000003</v>
      </c>
      <c r="J49" s="14">
        <f>SUM(J41:J48)</f>
        <v>1117</v>
      </c>
    </row>
    <row r="50" spans="1:12" ht="13">
      <c r="A50" s="101"/>
      <c r="B50" s="101"/>
      <c r="C50" s="101"/>
      <c r="D50" s="101"/>
      <c r="E50" s="101"/>
      <c r="F50" s="101"/>
      <c r="G50" s="101"/>
      <c r="H50" s="101"/>
      <c r="I50" s="101"/>
      <c r="J50" s="101"/>
    </row>
    <row r="51" spans="1:12" ht="16.149999999999999" customHeight="1">
      <c r="A51" s="112" t="s">
        <v>59</v>
      </c>
      <c r="B51" s="112"/>
      <c r="C51" s="112"/>
      <c r="D51" s="112"/>
      <c r="E51" s="112"/>
      <c r="F51" s="112"/>
      <c r="G51" s="112"/>
      <c r="H51" s="112"/>
      <c r="I51" s="112"/>
      <c r="J51" s="112"/>
      <c r="L51" s="53"/>
    </row>
    <row r="52" spans="1:12" ht="16.149999999999999" customHeight="1">
      <c r="A52" s="69" t="s">
        <v>60</v>
      </c>
      <c r="B52" s="113" t="s">
        <v>61</v>
      </c>
      <c r="C52" s="113"/>
      <c r="D52" s="113"/>
      <c r="E52" s="113"/>
      <c r="F52" s="113"/>
      <c r="G52" s="113"/>
      <c r="H52" s="113"/>
      <c r="I52" s="113"/>
      <c r="J52" s="68" t="s">
        <v>37</v>
      </c>
    </row>
    <row r="53" spans="1:12" ht="13">
      <c r="A53" s="8" t="s">
        <v>5</v>
      </c>
      <c r="B53" s="104" t="s">
        <v>62</v>
      </c>
      <c r="C53" s="104"/>
      <c r="D53" s="104"/>
      <c r="E53" s="104"/>
      <c r="F53" s="104"/>
      <c r="G53" s="104"/>
      <c r="H53" s="104"/>
      <c r="I53" s="104"/>
      <c r="J53" s="16">
        <f>IF(ROUND((I56*I54*I55)-(J24*0.06),2)&lt;0,0,ROUND((I56*I54*I55)-(J24*0.06),2))</f>
        <v>153.52000000000001</v>
      </c>
    </row>
    <row r="54" spans="1:12" ht="13">
      <c r="A54" s="8"/>
      <c r="B54" s="121" t="s">
        <v>63</v>
      </c>
      <c r="C54" s="121"/>
      <c r="D54" s="121"/>
      <c r="E54" s="121"/>
      <c r="F54" s="121"/>
      <c r="G54" s="121"/>
      <c r="H54" s="121"/>
      <c r="I54" s="22">
        <v>4.8</v>
      </c>
      <c r="J54" s="51" t="s">
        <v>64</v>
      </c>
    </row>
    <row r="55" spans="1:12" ht="13">
      <c r="A55" s="8"/>
      <c r="B55" s="121" t="s">
        <v>65</v>
      </c>
      <c r="C55" s="121"/>
      <c r="D55" s="121"/>
      <c r="E55" s="121"/>
      <c r="F55" s="121"/>
      <c r="G55" s="121"/>
      <c r="H55" s="121"/>
      <c r="I55" s="23">
        <v>2</v>
      </c>
      <c r="J55" s="51"/>
    </row>
    <row r="56" spans="1:12" ht="13">
      <c r="A56" s="8"/>
      <c r="B56" s="121" t="s">
        <v>66</v>
      </c>
      <c r="C56" s="121"/>
      <c r="D56" s="121"/>
      <c r="E56" s="121"/>
      <c r="F56" s="121"/>
      <c r="G56" s="121"/>
      <c r="H56" s="121"/>
      <c r="I56" s="24">
        <v>26</v>
      </c>
      <c r="J56" s="51"/>
    </row>
    <row r="57" spans="1:12" ht="13">
      <c r="A57" s="8" t="s">
        <v>7</v>
      </c>
      <c r="B57" s="104" t="s">
        <v>67</v>
      </c>
      <c r="C57" s="104"/>
      <c r="D57" s="104"/>
      <c r="E57" s="104"/>
      <c r="F57" s="104"/>
      <c r="G57" s="104"/>
      <c r="H57" s="104"/>
      <c r="I57" s="104"/>
      <c r="J57" s="16">
        <f>ROUND((I58*I59)-(I59*I58*I60),2)</f>
        <v>359.61</v>
      </c>
    </row>
    <row r="58" spans="1:12" ht="13">
      <c r="A58" s="8"/>
      <c r="B58" s="121" t="s">
        <v>68</v>
      </c>
      <c r="C58" s="121"/>
      <c r="D58" s="121"/>
      <c r="E58" s="121"/>
      <c r="F58" s="121"/>
      <c r="G58" s="121"/>
      <c r="H58" s="121"/>
      <c r="I58" s="22">
        <v>20.18</v>
      </c>
      <c r="J58" s="51" t="s">
        <v>64</v>
      </c>
    </row>
    <row r="59" spans="1:12" ht="13">
      <c r="A59" s="25"/>
      <c r="B59" s="121" t="s">
        <v>69</v>
      </c>
      <c r="C59" s="121"/>
      <c r="D59" s="121"/>
      <c r="E59" s="121"/>
      <c r="F59" s="121"/>
      <c r="G59" s="121"/>
      <c r="H59" s="121"/>
      <c r="I59" s="26">
        <v>22</v>
      </c>
      <c r="J59" s="51"/>
    </row>
    <row r="60" spans="1:12" ht="13">
      <c r="A60" s="25"/>
      <c r="B60" s="121" t="s">
        <v>132</v>
      </c>
      <c r="C60" s="121"/>
      <c r="D60" s="121"/>
      <c r="E60" s="121"/>
      <c r="F60" s="121"/>
      <c r="G60" s="121"/>
      <c r="H60" s="121"/>
      <c r="I60" s="52">
        <v>0.19</v>
      </c>
      <c r="J60" s="51"/>
    </row>
    <row r="61" spans="1:12" ht="27.65" customHeight="1">
      <c r="A61" s="8"/>
      <c r="B61" s="121" t="s">
        <v>208</v>
      </c>
      <c r="C61" s="121"/>
      <c r="D61" s="121"/>
      <c r="E61" s="121"/>
      <c r="F61" s="121"/>
      <c r="G61" s="121"/>
      <c r="H61" s="121"/>
      <c r="I61" s="22">
        <f>I58/2</f>
        <v>10.09</v>
      </c>
      <c r="J61" s="16">
        <f>ROUND((I61*I62)-(I61*I62*I60),2)</f>
        <v>32.69</v>
      </c>
    </row>
    <row r="62" spans="1:12" ht="27.65" customHeight="1">
      <c r="A62" s="25"/>
      <c r="B62" s="121" t="s">
        <v>69</v>
      </c>
      <c r="C62" s="121"/>
      <c r="D62" s="121"/>
      <c r="E62" s="121"/>
      <c r="F62" s="121"/>
      <c r="G62" s="121"/>
      <c r="H62" s="121"/>
      <c r="I62" s="26">
        <v>4</v>
      </c>
      <c r="J62" s="51"/>
      <c r="L62" s="50"/>
    </row>
    <row r="63" spans="1:12" ht="27.65" customHeight="1">
      <c r="A63" s="8" t="s">
        <v>12</v>
      </c>
      <c r="B63" s="122" t="s">
        <v>186</v>
      </c>
      <c r="C63" s="123"/>
      <c r="D63" s="123"/>
      <c r="E63" s="123"/>
      <c r="F63" s="123"/>
      <c r="G63" s="123"/>
      <c r="H63" s="123"/>
      <c r="I63" s="124"/>
      <c r="J63" s="27">
        <v>17.32</v>
      </c>
      <c r="L63" s="50"/>
    </row>
    <row r="64" spans="1:12" ht="13">
      <c r="A64" s="125" t="s">
        <v>32</v>
      </c>
      <c r="B64" s="126"/>
      <c r="C64" s="126"/>
      <c r="D64" s="126"/>
      <c r="E64" s="126"/>
      <c r="F64" s="126"/>
      <c r="G64" s="126"/>
      <c r="H64" s="126"/>
      <c r="I64" s="127"/>
      <c r="J64" s="14">
        <f>SUM(J53:J63)</f>
        <v>563.14</v>
      </c>
      <c r="L64" s="50"/>
    </row>
    <row r="65" spans="1:12" ht="13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L65" s="50"/>
    </row>
    <row r="66" spans="1:12" ht="16.149999999999999" customHeight="1">
      <c r="A66" s="112" t="s">
        <v>71</v>
      </c>
      <c r="B66" s="112"/>
      <c r="C66" s="112"/>
      <c r="D66" s="112"/>
      <c r="E66" s="112"/>
      <c r="F66" s="112"/>
      <c r="G66" s="112"/>
      <c r="H66" s="112"/>
      <c r="I66" s="112"/>
      <c r="J66" s="112"/>
      <c r="L66" s="50"/>
    </row>
    <row r="67" spans="1:12" ht="16.149999999999999" customHeight="1">
      <c r="A67" s="64">
        <v>2</v>
      </c>
      <c r="B67" s="115" t="s">
        <v>72</v>
      </c>
      <c r="C67" s="115"/>
      <c r="D67" s="115"/>
      <c r="E67" s="115"/>
      <c r="F67" s="115"/>
      <c r="G67" s="115"/>
      <c r="H67" s="115"/>
      <c r="I67" s="115"/>
      <c r="J67" s="64" t="s">
        <v>37</v>
      </c>
      <c r="L67" s="50"/>
    </row>
    <row r="68" spans="1:12" ht="14.65" customHeight="1">
      <c r="A68" s="1" t="s">
        <v>35</v>
      </c>
      <c r="B68" s="1"/>
      <c r="C68" s="109" t="s">
        <v>73</v>
      </c>
      <c r="D68" s="109"/>
      <c r="E68" s="109"/>
      <c r="F68" s="109"/>
      <c r="G68" s="109"/>
      <c r="H68" s="109"/>
      <c r="I68" s="109"/>
      <c r="J68" s="28">
        <f>J37</f>
        <v>327.3</v>
      </c>
      <c r="L68" s="50"/>
    </row>
    <row r="69" spans="1:12" ht="14.65" customHeight="1">
      <c r="A69" s="1" t="s">
        <v>42</v>
      </c>
      <c r="B69" s="1"/>
      <c r="C69" s="109" t="s">
        <v>43</v>
      </c>
      <c r="D69" s="109"/>
      <c r="E69" s="109"/>
      <c r="F69" s="109"/>
      <c r="G69" s="109"/>
      <c r="H69" s="109"/>
      <c r="I69" s="109"/>
      <c r="J69" s="28">
        <f>J49</f>
        <v>1117</v>
      </c>
      <c r="L69" s="50"/>
    </row>
    <row r="70" spans="1:12" ht="14.65" customHeight="1">
      <c r="A70" s="1" t="s">
        <v>60</v>
      </c>
      <c r="B70" s="1"/>
      <c r="C70" s="109" t="s">
        <v>61</v>
      </c>
      <c r="D70" s="109"/>
      <c r="E70" s="109"/>
      <c r="F70" s="109"/>
      <c r="G70" s="109"/>
      <c r="H70" s="109"/>
      <c r="I70" s="109"/>
      <c r="J70" s="28">
        <f>J64</f>
        <v>563.14</v>
      </c>
      <c r="L70" s="50"/>
    </row>
    <row r="71" spans="1:12" ht="14.65" customHeight="1">
      <c r="A71" s="116" t="s">
        <v>40</v>
      </c>
      <c r="B71" s="116"/>
      <c r="C71" s="116"/>
      <c r="D71" s="116"/>
      <c r="E71" s="116"/>
      <c r="F71" s="116"/>
      <c r="G71" s="116"/>
      <c r="H71" s="116"/>
      <c r="I71" s="116"/>
      <c r="J71" s="29">
        <f>SUM(J68+J69+J70)</f>
        <v>2007.44</v>
      </c>
    </row>
    <row r="72" spans="1:12" ht="13">
      <c r="A72" s="101"/>
      <c r="B72" s="101"/>
      <c r="C72" s="101"/>
      <c r="D72" s="101"/>
      <c r="E72" s="101"/>
      <c r="F72" s="101"/>
      <c r="G72" s="101"/>
      <c r="H72" s="101"/>
      <c r="I72" s="101"/>
      <c r="J72" s="101"/>
    </row>
    <row r="73" spans="1:12" ht="16.149999999999999" customHeight="1">
      <c r="A73" s="112" t="s">
        <v>74</v>
      </c>
      <c r="B73" s="112"/>
      <c r="C73" s="112"/>
      <c r="D73" s="112"/>
      <c r="E73" s="112"/>
      <c r="F73" s="112"/>
      <c r="G73" s="112"/>
      <c r="H73" s="112"/>
      <c r="I73" s="112"/>
      <c r="J73" s="112"/>
    </row>
    <row r="74" spans="1:12" ht="16.149999999999999" customHeight="1">
      <c r="A74" s="63">
        <v>3</v>
      </c>
      <c r="B74" s="115" t="s">
        <v>75</v>
      </c>
      <c r="C74" s="115"/>
      <c r="D74" s="115"/>
      <c r="E74" s="115"/>
      <c r="F74" s="115"/>
      <c r="G74" s="115"/>
      <c r="H74" s="115"/>
      <c r="I74" s="115"/>
      <c r="J74" s="63" t="s">
        <v>76</v>
      </c>
    </row>
    <row r="75" spans="1:12" ht="46.5" customHeight="1">
      <c r="A75" s="8" t="s">
        <v>5</v>
      </c>
      <c r="B75" s="109" t="s">
        <v>135</v>
      </c>
      <c r="C75" s="109"/>
      <c r="D75" s="109"/>
      <c r="E75" s="109"/>
      <c r="F75" s="109"/>
      <c r="G75" s="109"/>
      <c r="H75" s="109"/>
      <c r="I75" s="109"/>
      <c r="J75" s="16">
        <f>ROUND(((J30)+(J35)+(J30/12)+(J36))/12*0.01,2)</f>
        <v>2.87</v>
      </c>
      <c r="L75" s="50"/>
    </row>
    <row r="76" spans="1:12" ht="14.65" customHeight="1">
      <c r="A76" s="8" t="s">
        <v>7</v>
      </c>
      <c r="B76" s="109" t="s">
        <v>77</v>
      </c>
      <c r="C76" s="109"/>
      <c r="D76" s="109"/>
      <c r="E76" s="109"/>
      <c r="F76" s="109"/>
      <c r="G76" s="109"/>
      <c r="H76" s="109"/>
      <c r="I76" s="109"/>
      <c r="J76" s="16">
        <f>ROUND($J$75*I48,2)</f>
        <v>0.23</v>
      </c>
    </row>
    <row r="77" spans="1:12" ht="36.25" customHeight="1">
      <c r="A77" s="8" t="s">
        <v>9</v>
      </c>
      <c r="B77" s="109" t="s">
        <v>136</v>
      </c>
      <c r="C77" s="109"/>
      <c r="D77" s="109"/>
      <c r="E77" s="109"/>
      <c r="F77" s="109"/>
      <c r="G77" s="109"/>
      <c r="H77" s="109"/>
      <c r="I77" s="30">
        <v>2.3999999999999998E-3</v>
      </c>
      <c r="J77" s="16">
        <f>ROUND($J$30*I77,2)</f>
        <v>6.92</v>
      </c>
    </row>
    <row r="78" spans="1:12" ht="34.5" customHeight="1">
      <c r="A78" s="8" t="s">
        <v>12</v>
      </c>
      <c r="B78" s="109" t="s">
        <v>138</v>
      </c>
      <c r="C78" s="109"/>
      <c r="D78" s="109"/>
      <c r="E78" s="109"/>
      <c r="F78" s="109"/>
      <c r="G78" s="109"/>
      <c r="H78" s="109"/>
      <c r="I78" s="109"/>
      <c r="J78" s="16">
        <f>J30/30*7/12*0.05</f>
        <v>2.8023624999999996</v>
      </c>
    </row>
    <row r="79" spans="1:12" ht="14.65" customHeight="1">
      <c r="A79" s="8" t="s">
        <v>29</v>
      </c>
      <c r="B79" s="109" t="s">
        <v>78</v>
      </c>
      <c r="C79" s="109"/>
      <c r="D79" s="109"/>
      <c r="E79" s="109"/>
      <c r="F79" s="109"/>
      <c r="G79" s="109"/>
      <c r="H79" s="109"/>
      <c r="I79" s="109"/>
      <c r="J79" s="16">
        <f>ROUND($I$49*J78,2)</f>
        <v>0.98</v>
      </c>
    </row>
    <row r="80" spans="1:12" ht="36.25" customHeight="1">
      <c r="A80" s="8" t="s">
        <v>53</v>
      </c>
      <c r="B80" s="109" t="s">
        <v>137</v>
      </c>
      <c r="C80" s="109"/>
      <c r="D80" s="109"/>
      <c r="E80" s="109"/>
      <c r="F80" s="109"/>
      <c r="G80" s="109"/>
      <c r="H80" s="109"/>
      <c r="I80" s="30">
        <v>3.7600000000000001E-2</v>
      </c>
      <c r="J80" s="16">
        <f>ROUND($J$30*I80,2)</f>
        <v>108.38</v>
      </c>
    </row>
    <row r="81" spans="1:10" ht="13">
      <c r="A81" s="105" t="s">
        <v>40</v>
      </c>
      <c r="B81" s="105"/>
      <c r="C81" s="105"/>
      <c r="D81" s="105"/>
      <c r="E81" s="105"/>
      <c r="F81" s="105"/>
      <c r="G81" s="105"/>
      <c r="H81" s="105"/>
      <c r="I81" s="105"/>
      <c r="J81" s="14">
        <f>SUM(J75:J80)</f>
        <v>122.1823625</v>
      </c>
    </row>
    <row r="82" spans="1:10" ht="13">
      <c r="A82" s="101"/>
      <c r="B82" s="101"/>
      <c r="C82" s="101"/>
      <c r="D82" s="101"/>
      <c r="E82" s="101"/>
      <c r="F82" s="101"/>
      <c r="G82" s="101"/>
      <c r="H82" s="101"/>
      <c r="I82" s="101"/>
      <c r="J82" s="101"/>
    </row>
    <row r="83" spans="1:10" ht="16.149999999999999" customHeight="1">
      <c r="A83" s="112" t="s">
        <v>79</v>
      </c>
      <c r="B83" s="112"/>
      <c r="C83" s="112"/>
      <c r="D83" s="112"/>
      <c r="E83" s="112"/>
      <c r="F83" s="112"/>
      <c r="G83" s="112"/>
      <c r="H83" s="112"/>
      <c r="I83" s="112"/>
      <c r="J83" s="112"/>
    </row>
    <row r="84" spans="1:10" ht="15" customHeight="1">
      <c r="A84" s="119" t="s">
        <v>80</v>
      </c>
      <c r="B84" s="119"/>
      <c r="C84" s="119"/>
      <c r="D84" s="119"/>
      <c r="E84" s="119"/>
      <c r="F84" s="119"/>
      <c r="G84" s="119"/>
      <c r="H84" s="119"/>
      <c r="I84" s="119"/>
      <c r="J84" s="31">
        <f>J87+J30+J35+J36</f>
        <v>3471.31</v>
      </c>
    </row>
    <row r="85" spans="1:10" ht="14.65" customHeight="1">
      <c r="A85" s="120"/>
      <c r="B85" s="120"/>
      <c r="C85" s="120"/>
      <c r="D85" s="120"/>
      <c r="E85" s="120"/>
      <c r="F85" s="120"/>
      <c r="G85" s="120"/>
      <c r="H85" s="120"/>
      <c r="I85" s="120"/>
      <c r="J85" s="120"/>
    </row>
    <row r="86" spans="1:10" ht="14">
      <c r="A86" s="32" t="s">
        <v>81</v>
      </c>
      <c r="B86" s="113" t="s">
        <v>82</v>
      </c>
      <c r="C86" s="113"/>
      <c r="D86" s="113"/>
      <c r="E86" s="113"/>
      <c r="F86" s="113"/>
      <c r="G86" s="113"/>
      <c r="H86" s="113"/>
      <c r="I86" s="113"/>
      <c r="J86" s="32" t="s">
        <v>37</v>
      </c>
    </row>
    <row r="87" spans="1:10" ht="12.75" customHeight="1">
      <c r="A87" s="12" t="s">
        <v>5</v>
      </c>
      <c r="B87" s="109" t="s">
        <v>83</v>
      </c>
      <c r="C87" s="109"/>
      <c r="D87" s="109"/>
      <c r="E87" s="109"/>
      <c r="F87" s="109"/>
      <c r="G87" s="109"/>
      <c r="H87" s="109"/>
      <c r="I87" s="33">
        <f>12.1%-I36</f>
        <v>9.0749999999999997E-2</v>
      </c>
      <c r="J87" s="16">
        <f>ROUND(($J$30*I87),2)</f>
        <v>261.58</v>
      </c>
    </row>
    <row r="88" spans="1:10" ht="13">
      <c r="A88" s="12" t="s">
        <v>7</v>
      </c>
      <c r="B88" s="104" t="s">
        <v>131</v>
      </c>
      <c r="C88" s="104"/>
      <c r="D88" s="104"/>
      <c r="E88" s="104"/>
      <c r="F88" s="104"/>
      <c r="G88" s="104"/>
      <c r="H88" s="104"/>
      <c r="I88" s="104"/>
      <c r="J88" s="34">
        <f>J84/30*0.1/12</f>
        <v>0.96425277777777785</v>
      </c>
    </row>
    <row r="89" spans="1:10" ht="13">
      <c r="A89" s="12" t="s">
        <v>9</v>
      </c>
      <c r="B89" s="104" t="s">
        <v>84</v>
      </c>
      <c r="C89" s="104"/>
      <c r="D89" s="104"/>
      <c r="E89" s="104"/>
      <c r="F89" s="104"/>
      <c r="G89" s="104"/>
      <c r="H89" s="104"/>
      <c r="I89" s="104"/>
      <c r="J89" s="34">
        <f>J84/30*5/12*1.5%</f>
        <v>0.72318958333333339</v>
      </c>
    </row>
    <row r="90" spans="1:10" ht="13">
      <c r="A90" s="12" t="s">
        <v>12</v>
      </c>
      <c r="B90" s="104" t="s">
        <v>85</v>
      </c>
      <c r="C90" s="104"/>
      <c r="D90" s="104"/>
      <c r="E90" s="104"/>
      <c r="F90" s="104"/>
      <c r="G90" s="104"/>
      <c r="H90" s="104"/>
      <c r="I90" s="104"/>
      <c r="J90" s="13">
        <f>J84/30*15/12*0.78%</f>
        <v>1.12817575</v>
      </c>
    </row>
    <row r="91" spans="1:10" ht="13">
      <c r="A91" s="12" t="s">
        <v>29</v>
      </c>
      <c r="B91" s="104" t="s">
        <v>86</v>
      </c>
      <c r="C91" s="104"/>
      <c r="D91" s="104"/>
      <c r="E91" s="104"/>
      <c r="F91" s="104"/>
      <c r="G91" s="104"/>
      <c r="H91" s="104"/>
      <c r="I91" s="104"/>
      <c r="J91" s="16">
        <f>(J30+J36)/12*4/12*1%</f>
        <v>0.82489444444444449</v>
      </c>
    </row>
    <row r="92" spans="1:10" ht="13">
      <c r="A92" s="35" t="s">
        <v>53</v>
      </c>
      <c r="B92" s="118" t="s">
        <v>87</v>
      </c>
      <c r="C92" s="118"/>
      <c r="D92" s="118"/>
      <c r="E92" s="118"/>
      <c r="F92" s="118"/>
      <c r="G92" s="118"/>
      <c r="H92" s="118"/>
      <c r="I92" s="118"/>
      <c r="J92" s="13">
        <f>J84/30*0.15/12</f>
        <v>1.4463791666666665</v>
      </c>
    </row>
    <row r="93" spans="1:10" ht="13">
      <c r="A93" s="105" t="s">
        <v>40</v>
      </c>
      <c r="B93" s="105"/>
      <c r="C93" s="105"/>
      <c r="D93" s="105"/>
      <c r="E93" s="105"/>
      <c r="F93" s="105"/>
      <c r="G93" s="105"/>
      <c r="H93" s="105"/>
      <c r="I93" s="105"/>
      <c r="J93" s="36">
        <f>SUM(J87:J92)</f>
        <v>266.66689172222226</v>
      </c>
    </row>
    <row r="94" spans="1:10" ht="14.65" customHeight="1">
      <c r="A94" s="12"/>
      <c r="B94" s="104"/>
      <c r="C94" s="104"/>
      <c r="D94" s="104"/>
      <c r="E94" s="104"/>
      <c r="F94" s="104"/>
      <c r="G94" s="104"/>
      <c r="H94" s="104"/>
      <c r="I94" s="104"/>
      <c r="J94" s="13"/>
    </row>
    <row r="95" spans="1:10" ht="13">
      <c r="A95" s="105" t="s">
        <v>40</v>
      </c>
      <c r="B95" s="105"/>
      <c r="C95" s="105"/>
      <c r="D95" s="105"/>
      <c r="E95" s="105"/>
      <c r="F95" s="105"/>
      <c r="G95" s="105"/>
      <c r="H95" s="105"/>
      <c r="I95" s="105"/>
      <c r="J95" s="14">
        <f>SUM(J93:J94)</f>
        <v>266.66689172222226</v>
      </c>
    </row>
    <row r="96" spans="1:10" ht="16.149999999999999" customHeight="1">
      <c r="A96" s="112" t="s">
        <v>88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14">
      <c r="A97" s="63" t="s">
        <v>89</v>
      </c>
      <c r="B97" s="113" t="s">
        <v>90</v>
      </c>
      <c r="C97" s="113"/>
      <c r="D97" s="113"/>
      <c r="E97" s="113"/>
      <c r="F97" s="113"/>
      <c r="G97" s="113"/>
      <c r="H97" s="113"/>
      <c r="I97" s="113"/>
      <c r="J97" s="37" t="s">
        <v>37</v>
      </c>
    </row>
    <row r="98" spans="1:10" ht="13">
      <c r="A98" s="8" t="s">
        <v>5</v>
      </c>
      <c r="B98" s="104" t="s">
        <v>91</v>
      </c>
      <c r="C98" s="104"/>
      <c r="D98" s="104"/>
      <c r="E98" s="104"/>
      <c r="F98" s="104"/>
      <c r="G98" s="104"/>
      <c r="H98" s="104"/>
      <c r="I98" s="104"/>
      <c r="J98" s="16">
        <v>0</v>
      </c>
    </row>
    <row r="99" spans="1:10" ht="13">
      <c r="A99" s="117" t="s">
        <v>40</v>
      </c>
      <c r="B99" s="117"/>
      <c r="C99" s="117"/>
      <c r="D99" s="117"/>
      <c r="E99" s="117"/>
      <c r="F99" s="117"/>
      <c r="G99" s="117"/>
      <c r="H99" s="117"/>
      <c r="I99" s="117"/>
      <c r="J99" s="16">
        <v>0</v>
      </c>
    </row>
    <row r="100" spans="1:10" ht="13">
      <c r="A100" s="12"/>
      <c r="B100" s="104"/>
      <c r="C100" s="104"/>
      <c r="D100" s="104"/>
      <c r="E100" s="104"/>
      <c r="F100" s="104"/>
      <c r="G100" s="104"/>
      <c r="H100" s="104"/>
      <c r="I100" s="104"/>
      <c r="J100" s="13"/>
    </row>
    <row r="101" spans="1:10" ht="13">
      <c r="A101" s="105" t="s">
        <v>40</v>
      </c>
      <c r="B101" s="105"/>
      <c r="C101" s="105"/>
      <c r="D101" s="105"/>
      <c r="E101" s="105"/>
      <c r="F101" s="105"/>
      <c r="G101" s="105"/>
      <c r="H101" s="105"/>
      <c r="I101" s="105"/>
      <c r="J101" s="14">
        <f>SUM(J99:J100)</f>
        <v>0</v>
      </c>
    </row>
    <row r="102" spans="1:10" ht="13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</row>
    <row r="103" spans="1:10" ht="16.149999999999999" customHeight="1">
      <c r="A103" s="112" t="s">
        <v>92</v>
      </c>
      <c r="B103" s="112"/>
      <c r="C103" s="112"/>
      <c r="D103" s="112"/>
      <c r="E103" s="112"/>
      <c r="F103" s="112"/>
      <c r="G103" s="112"/>
      <c r="H103" s="112"/>
      <c r="I103" s="112"/>
      <c r="J103" s="112"/>
    </row>
    <row r="104" spans="1:10" ht="16.149999999999999" customHeight="1">
      <c r="A104" s="64">
        <v>4</v>
      </c>
      <c r="B104" s="115" t="s">
        <v>93</v>
      </c>
      <c r="C104" s="115"/>
      <c r="D104" s="115"/>
      <c r="E104" s="115"/>
      <c r="F104" s="115"/>
      <c r="G104" s="115"/>
      <c r="H104" s="115"/>
      <c r="I104" s="115"/>
      <c r="J104" s="37" t="s">
        <v>37</v>
      </c>
    </row>
    <row r="105" spans="1:10" ht="14.65" customHeight="1">
      <c r="A105" s="1" t="s">
        <v>81</v>
      </c>
      <c r="B105" s="109" t="s">
        <v>94</v>
      </c>
      <c r="C105" s="109"/>
      <c r="D105" s="109"/>
      <c r="E105" s="109"/>
      <c r="F105" s="109"/>
      <c r="G105" s="109"/>
      <c r="H105" s="109"/>
      <c r="I105" s="109"/>
      <c r="J105" s="16">
        <f>J95</f>
        <v>266.66689172222226</v>
      </c>
    </row>
    <row r="106" spans="1:10" ht="14.65" customHeight="1">
      <c r="A106" s="1" t="s">
        <v>95</v>
      </c>
      <c r="B106" s="109" t="s">
        <v>96</v>
      </c>
      <c r="C106" s="109"/>
      <c r="D106" s="109"/>
      <c r="E106" s="109"/>
      <c r="F106" s="109"/>
      <c r="G106" s="109"/>
      <c r="H106" s="109"/>
      <c r="I106" s="109"/>
      <c r="J106" s="16">
        <f>J101</f>
        <v>0</v>
      </c>
    </row>
    <row r="107" spans="1:10" ht="14.65" customHeight="1">
      <c r="A107" s="116" t="s">
        <v>40</v>
      </c>
      <c r="B107" s="116"/>
      <c r="C107" s="116"/>
      <c r="D107" s="116"/>
      <c r="E107" s="116"/>
      <c r="F107" s="116"/>
      <c r="G107" s="116"/>
      <c r="H107" s="116"/>
      <c r="I107" s="116"/>
      <c r="J107" s="14">
        <f>SUM(J105+J106)</f>
        <v>266.66689172222226</v>
      </c>
    </row>
    <row r="108" spans="1:10" ht="13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</row>
    <row r="109" spans="1:10" ht="16.149999999999999" customHeight="1">
      <c r="A109" s="112" t="s">
        <v>97</v>
      </c>
      <c r="B109" s="112"/>
      <c r="C109" s="112"/>
      <c r="D109" s="112"/>
      <c r="E109" s="112"/>
      <c r="F109" s="112"/>
      <c r="G109" s="112"/>
      <c r="H109" s="112"/>
      <c r="I109" s="112"/>
      <c r="J109" s="112"/>
    </row>
    <row r="110" spans="1:10" ht="16.149999999999999" customHeight="1">
      <c r="A110" s="63">
        <v>5</v>
      </c>
      <c r="B110" s="113" t="s">
        <v>98</v>
      </c>
      <c r="C110" s="113"/>
      <c r="D110" s="113"/>
      <c r="E110" s="113"/>
      <c r="F110" s="113"/>
      <c r="G110" s="113"/>
      <c r="H110" s="113"/>
      <c r="I110" s="113"/>
      <c r="J110" s="63" t="s">
        <v>37</v>
      </c>
    </row>
    <row r="111" spans="1:10" ht="13">
      <c r="A111" s="8" t="s">
        <v>5</v>
      </c>
      <c r="B111" s="104" t="s">
        <v>185</v>
      </c>
      <c r="C111" s="104"/>
      <c r="D111" s="104"/>
      <c r="E111" s="104"/>
      <c r="F111" s="104"/>
      <c r="G111" s="104"/>
      <c r="H111" s="104"/>
      <c r="I111" s="104"/>
      <c r="J111" s="16">
        <f>Descritivo!E48</f>
        <v>91.369065656565652</v>
      </c>
    </row>
    <row r="112" spans="1:10" ht="13">
      <c r="A112" s="8" t="s">
        <v>7</v>
      </c>
      <c r="B112" s="104" t="s">
        <v>99</v>
      </c>
      <c r="C112" s="104"/>
      <c r="D112" s="104"/>
      <c r="E112" s="104"/>
      <c r="F112" s="104"/>
      <c r="G112" s="104"/>
      <c r="H112" s="104"/>
      <c r="I112" s="104"/>
      <c r="J112" s="27">
        <f>Descritivo!D93</f>
        <v>116.16919191919192</v>
      </c>
    </row>
    <row r="113" spans="1:10" ht="13">
      <c r="A113" s="8" t="s">
        <v>9</v>
      </c>
      <c r="B113" s="104" t="s">
        <v>139</v>
      </c>
      <c r="C113" s="104"/>
      <c r="D113" s="104"/>
      <c r="E113" s="104"/>
      <c r="F113" s="104"/>
      <c r="G113" s="104"/>
      <c r="H113" s="104"/>
      <c r="I113" s="104"/>
      <c r="J113" s="27">
        <f>Descritivo!C101</f>
        <v>36.363636363636367</v>
      </c>
    </row>
    <row r="114" spans="1:10" ht="13">
      <c r="A114" s="8" t="s">
        <v>12</v>
      </c>
      <c r="B114" s="104" t="s">
        <v>100</v>
      </c>
      <c r="C114" s="104"/>
      <c r="D114" s="104"/>
      <c r="E114" s="104"/>
      <c r="F114" s="104"/>
      <c r="G114" s="104"/>
      <c r="H114" s="104"/>
      <c r="I114" s="104"/>
      <c r="J114" s="27"/>
    </row>
    <row r="115" spans="1:10" ht="13">
      <c r="A115" s="105" t="s">
        <v>32</v>
      </c>
      <c r="B115" s="105"/>
      <c r="C115" s="105"/>
      <c r="D115" s="105"/>
      <c r="E115" s="105"/>
      <c r="F115" s="105"/>
      <c r="G115" s="105"/>
      <c r="H115" s="105"/>
      <c r="I115" s="105"/>
      <c r="J115" s="38">
        <f>SUM(J111:J114)</f>
        <v>243.90189393939394</v>
      </c>
    </row>
    <row r="116" spans="1:10" ht="13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</row>
    <row r="117" spans="1:10" ht="16.149999999999999" customHeight="1">
      <c r="A117" s="112" t="s">
        <v>101</v>
      </c>
      <c r="B117" s="112"/>
      <c r="C117" s="112"/>
      <c r="D117" s="112"/>
      <c r="E117" s="112"/>
      <c r="F117" s="112"/>
      <c r="G117" s="112"/>
      <c r="H117" s="112"/>
      <c r="I117" s="112"/>
      <c r="J117" s="112"/>
    </row>
    <row r="118" spans="1:10" ht="28">
      <c r="A118" s="63">
        <v>6</v>
      </c>
      <c r="B118" s="113" t="s">
        <v>102</v>
      </c>
      <c r="C118" s="113"/>
      <c r="D118" s="113"/>
      <c r="E118" s="113"/>
      <c r="F118" s="113"/>
      <c r="G118" s="113"/>
      <c r="H118" s="113"/>
      <c r="I118" s="64" t="s">
        <v>44</v>
      </c>
      <c r="J118" s="39" t="s">
        <v>103</v>
      </c>
    </row>
    <row r="119" spans="1:10" ht="12.75" customHeight="1">
      <c r="A119" s="111" t="s">
        <v>104</v>
      </c>
      <c r="B119" s="111"/>
      <c r="C119" s="111"/>
      <c r="D119" s="111"/>
      <c r="E119" s="111"/>
      <c r="F119" s="111"/>
      <c r="G119" s="111"/>
      <c r="H119" s="111"/>
      <c r="I119" s="40" t="s">
        <v>64</v>
      </c>
      <c r="J119" s="41">
        <f>SUM(J30+J71+J81+J107+J115)</f>
        <v>5522.6211481616156</v>
      </c>
    </row>
    <row r="120" spans="1:10" ht="15.5">
      <c r="A120" s="42" t="s">
        <v>5</v>
      </c>
      <c r="B120" s="110" t="s">
        <v>105</v>
      </c>
      <c r="C120" s="110"/>
      <c r="D120" s="110"/>
      <c r="E120" s="110"/>
      <c r="F120" s="110"/>
      <c r="G120" s="110"/>
      <c r="H120" s="110"/>
      <c r="I120" s="15">
        <v>0.1091</v>
      </c>
      <c r="J120" s="16">
        <f>ROUND(I120*J119,2)</f>
        <v>602.52</v>
      </c>
    </row>
    <row r="121" spans="1:10" ht="12.75" customHeight="1">
      <c r="A121" s="111" t="s">
        <v>106</v>
      </c>
      <c r="B121" s="111"/>
      <c r="C121" s="111"/>
      <c r="D121" s="111"/>
      <c r="E121" s="111"/>
      <c r="F121" s="111"/>
      <c r="G121" s="111"/>
      <c r="H121" s="111"/>
      <c r="I121" s="43" t="s">
        <v>64</v>
      </c>
      <c r="J121" s="41">
        <f>SUM(J30+J71+J81+J107+J115+J120)</f>
        <v>6125.141148161616</v>
      </c>
    </row>
    <row r="122" spans="1:10" ht="15.5">
      <c r="A122" s="42" t="s">
        <v>7</v>
      </c>
      <c r="B122" s="110" t="s">
        <v>107</v>
      </c>
      <c r="C122" s="110"/>
      <c r="D122" s="110"/>
      <c r="E122" s="110"/>
      <c r="F122" s="110"/>
      <c r="G122" s="110"/>
      <c r="H122" s="110"/>
      <c r="I122" s="20">
        <v>0.15109700000000001</v>
      </c>
      <c r="J122" s="16">
        <f>ROUND(I122*J121,2)</f>
        <v>925.49</v>
      </c>
    </row>
    <row r="123" spans="1:10" ht="12.75" customHeight="1">
      <c r="A123" s="111" t="s">
        <v>108</v>
      </c>
      <c r="B123" s="111"/>
      <c r="C123" s="111"/>
      <c r="D123" s="111"/>
      <c r="E123" s="111"/>
      <c r="F123" s="111"/>
      <c r="G123" s="111"/>
      <c r="H123" s="111"/>
      <c r="I123" s="43" t="s">
        <v>64</v>
      </c>
      <c r="J123" s="41">
        <f>SUM(J30+J71+J81+J107+J115+J120+J122)</f>
        <v>7050.6311481616158</v>
      </c>
    </row>
    <row r="124" spans="1:10" ht="15.5">
      <c r="A124" s="42" t="s">
        <v>9</v>
      </c>
      <c r="B124" s="110" t="s">
        <v>109</v>
      </c>
      <c r="C124" s="110"/>
      <c r="D124" s="110"/>
      <c r="E124" s="110"/>
      <c r="F124" s="110"/>
      <c r="G124" s="110"/>
      <c r="H124" s="110"/>
      <c r="I124" s="9" t="s">
        <v>64</v>
      </c>
      <c r="J124" s="51" t="s">
        <v>64</v>
      </c>
    </row>
    <row r="125" spans="1:10" ht="13">
      <c r="A125" s="8"/>
      <c r="B125" s="104" t="s">
        <v>110</v>
      </c>
      <c r="C125" s="104"/>
      <c r="D125" s="104"/>
      <c r="E125" s="104"/>
      <c r="F125" s="104"/>
      <c r="G125" s="104"/>
      <c r="H125" s="104"/>
      <c r="I125" s="9" t="s">
        <v>64</v>
      </c>
      <c r="J125" s="51" t="s">
        <v>64</v>
      </c>
    </row>
    <row r="126" spans="1:10" ht="13">
      <c r="A126" s="8"/>
      <c r="B126" s="104" t="s">
        <v>111</v>
      </c>
      <c r="C126" s="104"/>
      <c r="D126" s="104"/>
      <c r="E126" s="104"/>
      <c r="F126" s="104"/>
      <c r="G126" s="104"/>
      <c r="H126" s="104"/>
      <c r="I126" s="44">
        <v>0.03</v>
      </c>
      <c r="J126" s="16">
        <f>ROUND(($J$123/(1-$I$135))*I126,2)</f>
        <v>231.55</v>
      </c>
    </row>
    <row r="127" spans="1:10" ht="13">
      <c r="A127" s="8"/>
      <c r="B127" s="104" t="s">
        <v>112</v>
      </c>
      <c r="C127" s="104"/>
      <c r="D127" s="104"/>
      <c r="E127" s="104"/>
      <c r="F127" s="104"/>
      <c r="G127" s="104"/>
      <c r="H127" s="104"/>
      <c r="I127" s="44">
        <v>6.4999999999999997E-3</v>
      </c>
      <c r="J127" s="16">
        <f>ROUND(($J$123/(1-$I$135))*I127,2)</f>
        <v>50.17</v>
      </c>
    </row>
    <row r="128" spans="1:10" ht="27.65" customHeight="1">
      <c r="A128" s="8"/>
      <c r="B128" s="109" t="s">
        <v>113</v>
      </c>
      <c r="C128" s="109"/>
      <c r="D128" s="109"/>
      <c r="E128" s="109"/>
      <c r="F128" s="109"/>
      <c r="G128" s="109"/>
      <c r="H128" s="109"/>
      <c r="I128" s="45" t="s">
        <v>64</v>
      </c>
      <c r="J128" s="51" t="s">
        <v>64</v>
      </c>
    </row>
    <row r="129" spans="1:10" ht="27.65" customHeight="1">
      <c r="A129" s="8"/>
      <c r="B129" s="109" t="s">
        <v>114</v>
      </c>
      <c r="C129" s="109"/>
      <c r="D129" s="109"/>
      <c r="E129" s="109"/>
      <c r="F129" s="109"/>
      <c r="G129" s="109"/>
      <c r="H129" s="109"/>
      <c r="I129" s="45" t="s">
        <v>64</v>
      </c>
      <c r="J129" s="51" t="s">
        <v>64</v>
      </c>
    </row>
    <row r="130" spans="1:10" ht="13">
      <c r="A130" s="8"/>
      <c r="B130" s="104" t="s">
        <v>115</v>
      </c>
      <c r="C130" s="104"/>
      <c r="D130" s="104"/>
      <c r="E130" s="104"/>
      <c r="F130" s="104"/>
      <c r="G130" s="104"/>
      <c r="H130" s="104"/>
      <c r="I130" s="45" t="s">
        <v>64</v>
      </c>
      <c r="J130" s="51" t="s">
        <v>64</v>
      </c>
    </row>
    <row r="131" spans="1:10" ht="13">
      <c r="A131" s="8"/>
      <c r="B131" s="104" t="s">
        <v>116</v>
      </c>
      <c r="C131" s="104"/>
      <c r="D131" s="104"/>
      <c r="E131" s="104"/>
      <c r="F131" s="104"/>
      <c r="G131" s="104"/>
      <c r="H131" s="104"/>
      <c r="I131" s="45" t="s">
        <v>64</v>
      </c>
      <c r="J131" s="51" t="s">
        <v>64</v>
      </c>
    </row>
    <row r="132" spans="1:10" ht="13">
      <c r="A132" s="8"/>
      <c r="B132" s="104" t="s">
        <v>134</v>
      </c>
      <c r="C132" s="104"/>
      <c r="D132" s="104"/>
      <c r="E132" s="104"/>
      <c r="F132" s="104"/>
      <c r="G132" s="104"/>
      <c r="H132" s="104"/>
      <c r="I132" s="44">
        <v>0.05</v>
      </c>
      <c r="J132" s="16">
        <f>ROUND(($J$123/(1-$I$135))*I132,2)</f>
        <v>385.91</v>
      </c>
    </row>
    <row r="133" spans="1:10" ht="13">
      <c r="A133" s="105" t="s">
        <v>40</v>
      </c>
      <c r="B133" s="105"/>
      <c r="C133" s="105"/>
      <c r="D133" s="105"/>
      <c r="E133" s="105"/>
      <c r="F133" s="105"/>
      <c r="G133" s="105"/>
      <c r="H133" s="105"/>
      <c r="I133" s="105"/>
      <c r="J133" s="14">
        <f>SUM(J120+J122+J126+J127+J132)</f>
        <v>2195.64</v>
      </c>
    </row>
    <row r="134" spans="1:10" ht="13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</row>
    <row r="135" spans="1:10" ht="14.65" customHeight="1">
      <c r="A135" s="106" t="s">
        <v>117</v>
      </c>
      <c r="B135" s="106"/>
      <c r="C135" s="106"/>
      <c r="D135" s="106"/>
      <c r="E135" s="106"/>
      <c r="F135" s="106"/>
      <c r="G135" s="106"/>
      <c r="H135" s="106"/>
      <c r="I135" s="46">
        <f>SUM(I126:I132)</f>
        <v>8.6499999999999994E-2</v>
      </c>
      <c r="J135" s="41">
        <f>SUM(J126:J132)</f>
        <v>667.63000000000011</v>
      </c>
    </row>
    <row r="136" spans="1:10">
      <c r="A136" s="107" t="s">
        <v>118</v>
      </c>
      <c r="B136" s="107"/>
      <c r="C136" s="107"/>
      <c r="D136" s="108" t="s">
        <v>119</v>
      </c>
      <c r="E136" s="108"/>
      <c r="F136" s="108"/>
      <c r="G136" s="108"/>
      <c r="H136" s="108"/>
      <c r="I136" s="108"/>
      <c r="J136" s="108"/>
    </row>
    <row r="137" spans="1:10">
      <c r="A137" s="107"/>
      <c r="B137" s="107"/>
      <c r="C137" s="107"/>
      <c r="D137" s="108" t="s">
        <v>120</v>
      </c>
      <c r="E137" s="108"/>
      <c r="F137" s="108"/>
      <c r="G137" s="108"/>
      <c r="H137" s="108"/>
      <c r="I137" s="108"/>
      <c r="J137" s="108"/>
    </row>
    <row r="138" spans="1:10">
      <c r="A138" s="107"/>
      <c r="B138" s="107"/>
      <c r="C138" s="107"/>
      <c r="D138" s="108" t="s">
        <v>121</v>
      </c>
      <c r="E138" s="108"/>
      <c r="F138" s="108"/>
      <c r="G138" s="108"/>
      <c r="H138" s="108"/>
      <c r="I138" s="108"/>
      <c r="J138" s="108"/>
    </row>
    <row r="139" spans="1:10" ht="13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</row>
    <row r="140" spans="1:10" ht="46" customHeight="1">
      <c r="A140" s="102" t="s">
        <v>122</v>
      </c>
      <c r="B140" s="102"/>
      <c r="C140" s="102"/>
      <c r="D140" s="102"/>
      <c r="E140" s="102"/>
      <c r="F140" s="102"/>
      <c r="G140" s="102"/>
      <c r="H140" s="102"/>
      <c r="I140" s="102"/>
      <c r="J140" s="102"/>
    </row>
    <row r="141" spans="1:10" ht="14.65" customHeight="1">
      <c r="A141" s="103" t="s">
        <v>123</v>
      </c>
      <c r="B141" s="103"/>
      <c r="C141" s="103"/>
      <c r="D141" s="103"/>
      <c r="E141" s="103"/>
      <c r="F141" s="103"/>
      <c r="G141" s="103"/>
      <c r="H141" s="103"/>
      <c r="I141" s="103"/>
      <c r="J141" s="47" t="s">
        <v>37</v>
      </c>
    </row>
    <row r="142" spans="1:10" ht="14.65" customHeight="1">
      <c r="A142" s="48" t="s">
        <v>5</v>
      </c>
      <c r="B142" s="99" t="s">
        <v>124</v>
      </c>
      <c r="C142" s="99"/>
      <c r="D142" s="99"/>
      <c r="E142" s="99"/>
      <c r="F142" s="99"/>
      <c r="G142" s="99"/>
      <c r="H142" s="99"/>
      <c r="I142" s="99"/>
      <c r="J142" s="27">
        <f>J30</f>
        <v>2882.43</v>
      </c>
    </row>
    <row r="143" spans="1:10" ht="14.65" customHeight="1">
      <c r="A143" s="48" t="s">
        <v>7</v>
      </c>
      <c r="B143" s="99" t="s">
        <v>33</v>
      </c>
      <c r="C143" s="99"/>
      <c r="D143" s="99"/>
      <c r="E143" s="99"/>
      <c r="F143" s="99"/>
      <c r="G143" s="99"/>
      <c r="H143" s="99"/>
      <c r="I143" s="99"/>
      <c r="J143" s="27">
        <f>J71</f>
        <v>2007.44</v>
      </c>
    </row>
    <row r="144" spans="1:10" ht="14.65" customHeight="1">
      <c r="A144" s="48" t="s">
        <v>9</v>
      </c>
      <c r="B144" s="99" t="s">
        <v>125</v>
      </c>
      <c r="C144" s="99"/>
      <c r="D144" s="99"/>
      <c r="E144" s="99"/>
      <c r="F144" s="99"/>
      <c r="G144" s="99"/>
      <c r="H144" s="99"/>
      <c r="I144" s="99"/>
      <c r="J144" s="27">
        <f>J81</f>
        <v>122.1823625</v>
      </c>
    </row>
    <row r="145" spans="1:12" ht="14.65" customHeight="1">
      <c r="A145" s="48" t="s">
        <v>12</v>
      </c>
      <c r="B145" s="99" t="s">
        <v>126</v>
      </c>
      <c r="C145" s="99"/>
      <c r="D145" s="99"/>
      <c r="E145" s="99"/>
      <c r="F145" s="99"/>
      <c r="G145" s="99"/>
      <c r="H145" s="99"/>
      <c r="I145" s="99"/>
      <c r="J145" s="27">
        <f>J107</f>
        <v>266.66689172222226</v>
      </c>
    </row>
    <row r="146" spans="1:12" ht="14.65" customHeight="1">
      <c r="A146" s="48" t="s">
        <v>29</v>
      </c>
      <c r="B146" s="99" t="s">
        <v>127</v>
      </c>
      <c r="C146" s="99"/>
      <c r="D146" s="99"/>
      <c r="E146" s="99"/>
      <c r="F146" s="99"/>
      <c r="G146" s="99"/>
      <c r="H146" s="99"/>
      <c r="I146" s="99"/>
      <c r="J146" s="27">
        <f>J115</f>
        <v>243.90189393939394</v>
      </c>
    </row>
    <row r="147" spans="1:12" ht="14.65" customHeight="1">
      <c r="A147" s="100" t="s">
        <v>128</v>
      </c>
      <c r="B147" s="100"/>
      <c r="C147" s="100"/>
      <c r="D147" s="100"/>
      <c r="E147" s="100"/>
      <c r="F147" s="100"/>
      <c r="G147" s="100"/>
      <c r="H147" s="100"/>
      <c r="I147" s="100"/>
      <c r="J147" s="38">
        <f>SUM(J142:J146)</f>
        <v>5522.6211481616156</v>
      </c>
    </row>
    <row r="148" spans="1:12" ht="14.65" customHeight="1">
      <c r="A148" s="48" t="s">
        <v>53</v>
      </c>
      <c r="B148" s="99" t="s">
        <v>129</v>
      </c>
      <c r="C148" s="99"/>
      <c r="D148" s="99"/>
      <c r="E148" s="99"/>
      <c r="F148" s="99"/>
      <c r="G148" s="99"/>
      <c r="H148" s="99"/>
      <c r="I148" s="99"/>
      <c r="J148" s="27">
        <f>J133</f>
        <v>2195.64</v>
      </c>
    </row>
    <row r="149" spans="1:12" ht="14.65" customHeight="1">
      <c r="A149" s="100" t="s">
        <v>130</v>
      </c>
      <c r="B149" s="100"/>
      <c r="C149" s="100"/>
      <c r="D149" s="100"/>
      <c r="E149" s="100"/>
      <c r="F149" s="100"/>
      <c r="G149" s="100"/>
      <c r="H149" s="100"/>
      <c r="I149" s="100"/>
      <c r="J149" s="38">
        <f>SUM(J147:J148)</f>
        <v>7718.261148161615</v>
      </c>
    </row>
    <row r="150" spans="1:12" ht="27.5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A1:J1"/>
    <mergeCell ref="A2:J2"/>
    <mergeCell ref="A3:G3"/>
    <mergeCell ref="H3:J3"/>
    <mergeCell ref="A4:G4"/>
    <mergeCell ref="H4:J4"/>
    <mergeCell ref="B61:H61"/>
    <mergeCell ref="B62:H62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60:H60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56628-BE28-4B28-BA17-0346170E5DD4}">
  <sheetPr>
    <tabColor rgb="FF0070C0"/>
  </sheetPr>
  <dimension ref="A1:Q172"/>
  <sheetViews>
    <sheetView showGridLines="0" view="pageBreakPreview" topLeftCell="A46" zoomScaleNormal="100" zoomScaleSheetLayoutView="100" zoomScalePageLayoutView="95" workbookViewId="0">
      <selection activeCell="J64" sqref="J64"/>
    </sheetView>
  </sheetViews>
  <sheetFormatPr defaultRowHeight="12.5"/>
  <cols>
    <col min="1" max="9" width="8.7265625" customWidth="1"/>
    <col min="10" max="10" width="15.453125" customWidth="1"/>
    <col min="11" max="11" width="17.453125" customWidth="1"/>
    <col min="12" max="12" width="17" customWidth="1"/>
    <col min="13" max="16" width="8.7265625" customWidth="1"/>
    <col min="17" max="17" width="10.81640625" customWidth="1"/>
    <col min="18" max="1025" width="8.7265625" customWidth="1"/>
  </cols>
  <sheetData>
    <row r="1" spans="1:12" ht="24.25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2" ht="46.5" customHeight="1">
      <c r="A2" s="136" t="s">
        <v>297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2" ht="14.65" customHeight="1">
      <c r="A3" s="109" t="s">
        <v>1</v>
      </c>
      <c r="B3" s="109"/>
      <c r="C3" s="109"/>
      <c r="D3" s="109"/>
      <c r="E3" s="109"/>
      <c r="F3" s="109"/>
      <c r="G3" s="109"/>
      <c r="H3" s="138" t="s">
        <v>145</v>
      </c>
      <c r="I3" s="139"/>
      <c r="J3" s="139"/>
    </row>
    <row r="4" spans="1:12" ht="14.65" customHeight="1">
      <c r="A4" s="109" t="s">
        <v>2</v>
      </c>
      <c r="B4" s="109"/>
      <c r="C4" s="109"/>
      <c r="D4" s="109"/>
      <c r="E4" s="109"/>
      <c r="F4" s="109"/>
      <c r="G4" s="109"/>
      <c r="H4" s="140" t="s">
        <v>144</v>
      </c>
      <c r="I4" s="139"/>
      <c r="J4" s="139"/>
    </row>
    <row r="5" spans="1:12" ht="14.65" customHeight="1">
      <c r="A5" s="109" t="s">
        <v>3</v>
      </c>
      <c r="B5" s="109"/>
      <c r="C5" s="109"/>
      <c r="D5" s="109"/>
      <c r="E5" s="109"/>
      <c r="F5" s="109"/>
      <c r="G5" s="109"/>
      <c r="H5" s="109"/>
      <c r="I5" s="109"/>
      <c r="J5" s="109"/>
    </row>
    <row r="6" spans="1:12" ht="16.149999999999999" customHeight="1">
      <c r="A6" s="142" t="s">
        <v>4</v>
      </c>
      <c r="B6" s="142"/>
      <c r="C6" s="142"/>
      <c r="D6" s="142"/>
      <c r="E6" s="142"/>
      <c r="F6" s="142"/>
      <c r="G6" s="142"/>
      <c r="H6" s="142"/>
      <c r="I6" s="142"/>
      <c r="J6" s="142"/>
    </row>
    <row r="7" spans="1:12" ht="14.65" customHeight="1">
      <c r="A7" s="1" t="s">
        <v>5</v>
      </c>
      <c r="B7" s="109" t="s">
        <v>6</v>
      </c>
      <c r="C7" s="109"/>
      <c r="D7" s="109"/>
      <c r="E7" s="109"/>
      <c r="F7" s="109"/>
      <c r="G7" s="109"/>
      <c r="H7" s="141">
        <v>44029</v>
      </c>
      <c r="I7" s="141"/>
      <c r="J7" s="141"/>
    </row>
    <row r="8" spans="1:12" ht="14.65" customHeight="1">
      <c r="A8" s="1" t="s">
        <v>7</v>
      </c>
      <c r="B8" s="109" t="s">
        <v>8</v>
      </c>
      <c r="C8" s="109"/>
      <c r="D8" s="109"/>
      <c r="E8" s="109"/>
      <c r="F8" s="109"/>
      <c r="G8" s="109"/>
      <c r="H8" s="141" t="s">
        <v>140</v>
      </c>
      <c r="I8" s="141"/>
      <c r="J8" s="141"/>
    </row>
    <row r="9" spans="1:12" ht="39" customHeight="1">
      <c r="A9" s="1" t="s">
        <v>9</v>
      </c>
      <c r="B9" s="109" t="s">
        <v>10</v>
      </c>
      <c r="C9" s="109"/>
      <c r="D9" s="109"/>
      <c r="E9" s="109"/>
      <c r="F9" s="109"/>
      <c r="G9" s="109"/>
      <c r="H9" s="141" t="s">
        <v>11</v>
      </c>
      <c r="I9" s="141"/>
      <c r="J9" s="141"/>
      <c r="L9" s="55"/>
    </row>
    <row r="10" spans="1:12" ht="14.65" customHeight="1">
      <c r="A10" s="1" t="s">
        <v>12</v>
      </c>
      <c r="B10" s="109" t="s">
        <v>13</v>
      </c>
      <c r="C10" s="109"/>
      <c r="D10" s="109"/>
      <c r="E10" s="109"/>
      <c r="F10" s="109"/>
      <c r="G10" s="109"/>
      <c r="H10" s="139">
        <v>12</v>
      </c>
      <c r="I10" s="139"/>
      <c r="J10" s="139"/>
    </row>
    <row r="11" spans="1:12" ht="13">
      <c r="A11" s="101"/>
      <c r="B11" s="101"/>
      <c r="C11" s="101"/>
      <c r="D11" s="101"/>
      <c r="E11" s="101"/>
      <c r="F11" s="101"/>
      <c r="G11" s="101"/>
      <c r="H11" s="101"/>
      <c r="I11" s="101"/>
      <c r="J11" s="101"/>
    </row>
    <row r="12" spans="1:12" ht="48.75" customHeight="1">
      <c r="A12" s="132" t="s">
        <v>14</v>
      </c>
      <c r="B12" s="132"/>
      <c r="C12" s="132"/>
      <c r="D12" s="132"/>
      <c r="E12" s="132"/>
      <c r="F12" s="132"/>
      <c r="G12" s="132"/>
      <c r="H12" s="132"/>
      <c r="I12" s="132"/>
      <c r="J12" s="132"/>
      <c r="L12" s="55"/>
    </row>
    <row r="13" spans="1:12" ht="13">
      <c r="A13" s="101"/>
      <c r="B13" s="101"/>
      <c r="C13" s="101"/>
      <c r="D13" s="101"/>
      <c r="E13" s="101"/>
      <c r="F13" s="101"/>
      <c r="G13" s="101"/>
      <c r="H13" s="101"/>
      <c r="I13" s="101"/>
      <c r="J13" s="101"/>
    </row>
    <row r="14" spans="1:12" ht="16.149999999999999" customHeight="1">
      <c r="A14" s="115" t="s">
        <v>15</v>
      </c>
      <c r="B14" s="115"/>
      <c r="C14" s="115"/>
      <c r="D14" s="115"/>
      <c r="E14" s="115"/>
      <c r="F14" s="115"/>
      <c r="G14" s="115"/>
      <c r="H14" s="115"/>
      <c r="I14" s="115"/>
      <c r="J14" s="115"/>
      <c r="L14" s="55"/>
    </row>
    <row r="15" spans="1:12" ht="16.149999999999999" customHeight="1">
      <c r="A15" s="1">
        <v>1</v>
      </c>
      <c r="B15" s="109" t="s">
        <v>16</v>
      </c>
      <c r="C15" s="109"/>
      <c r="D15" s="109"/>
      <c r="E15" s="109"/>
      <c r="F15" s="109"/>
      <c r="G15" s="109"/>
      <c r="H15" s="134" t="s">
        <v>17</v>
      </c>
      <c r="I15" s="134"/>
      <c r="J15" s="134"/>
    </row>
    <row r="16" spans="1:12" ht="16.149999999999999" customHeight="1">
      <c r="A16" s="1">
        <v>2</v>
      </c>
      <c r="B16" s="109" t="s">
        <v>18</v>
      </c>
      <c r="C16" s="109"/>
      <c r="D16" s="109"/>
      <c r="E16" s="109"/>
      <c r="F16" s="109"/>
      <c r="G16" s="109"/>
      <c r="H16" s="134">
        <v>9511</v>
      </c>
      <c r="I16" s="134"/>
      <c r="J16" s="134"/>
    </row>
    <row r="17" spans="1:17" ht="16.149999999999999" customHeight="1">
      <c r="A17" s="1">
        <v>3</v>
      </c>
      <c r="B17" s="109" t="s">
        <v>19</v>
      </c>
      <c r="C17" s="109"/>
      <c r="D17" s="109"/>
      <c r="E17" s="109"/>
      <c r="F17" s="109"/>
      <c r="G17" s="109"/>
      <c r="H17" s="143">
        <v>1601.35</v>
      </c>
      <c r="I17" s="143"/>
      <c r="J17" s="143"/>
    </row>
    <row r="18" spans="1:17" ht="16.149999999999999" customHeight="1">
      <c r="A18" s="1">
        <v>4</v>
      </c>
      <c r="B18" s="109" t="s">
        <v>20</v>
      </c>
      <c r="C18" s="109"/>
      <c r="D18" s="109"/>
      <c r="E18" s="109"/>
      <c r="F18" s="109"/>
      <c r="G18" s="109"/>
      <c r="H18" s="134" t="s">
        <v>179</v>
      </c>
      <c r="I18" s="134"/>
      <c r="J18" s="134"/>
    </row>
    <row r="19" spans="1:17" ht="16.149999999999999" customHeight="1">
      <c r="A19" s="1">
        <v>5</v>
      </c>
      <c r="B19" s="109" t="s">
        <v>21</v>
      </c>
      <c r="C19" s="109"/>
      <c r="D19" s="109"/>
      <c r="E19" s="109"/>
      <c r="F19" s="109"/>
      <c r="G19" s="109"/>
      <c r="H19" s="133" t="s">
        <v>141</v>
      </c>
      <c r="I19" s="133"/>
      <c r="J19" s="133"/>
    </row>
    <row r="20" spans="1:17" ht="16.149999999999999" customHeight="1">
      <c r="A20" s="1">
        <v>5</v>
      </c>
      <c r="B20" s="109" t="s">
        <v>133</v>
      </c>
      <c r="C20" s="109"/>
      <c r="D20" s="109"/>
      <c r="E20" s="109"/>
      <c r="F20" s="109"/>
      <c r="G20" s="109"/>
      <c r="H20" s="131">
        <v>44</v>
      </c>
      <c r="I20" s="131"/>
      <c r="J20" s="131"/>
    </row>
    <row r="21" spans="1:17" ht="13">
      <c r="A21" s="101"/>
      <c r="B21" s="101"/>
      <c r="C21" s="101"/>
      <c r="D21" s="101"/>
      <c r="E21" s="101"/>
      <c r="F21" s="101"/>
      <c r="G21" s="101"/>
      <c r="H21" s="101"/>
      <c r="I21" s="101"/>
      <c r="J21" s="101"/>
    </row>
    <row r="22" spans="1:17" ht="20.65" customHeight="1">
      <c r="A22" s="132" t="s">
        <v>22</v>
      </c>
      <c r="B22" s="132"/>
      <c r="C22" s="132"/>
      <c r="D22" s="132"/>
      <c r="E22" s="132"/>
      <c r="F22" s="132"/>
      <c r="G22" s="132"/>
      <c r="H22" s="132"/>
      <c r="I22" s="132"/>
      <c r="J22" s="132"/>
    </row>
    <row r="23" spans="1:17" ht="30.4" customHeight="1">
      <c r="A23" s="64">
        <v>1</v>
      </c>
      <c r="B23" s="115" t="s">
        <v>23</v>
      </c>
      <c r="C23" s="115"/>
      <c r="D23" s="115"/>
      <c r="E23" s="115"/>
      <c r="F23" s="115"/>
      <c r="G23" s="115"/>
      <c r="H23" s="115" t="s">
        <v>24</v>
      </c>
      <c r="I23" s="115"/>
      <c r="J23" s="64" t="s">
        <v>25</v>
      </c>
    </row>
    <row r="24" spans="1:17" ht="12.75" customHeight="1">
      <c r="A24" s="1" t="s">
        <v>5</v>
      </c>
      <c r="B24" s="109" t="s">
        <v>143</v>
      </c>
      <c r="C24" s="109"/>
      <c r="D24" s="109"/>
      <c r="E24" s="109"/>
      <c r="F24" s="109"/>
      <c r="G24" s="109"/>
      <c r="H24" s="109"/>
      <c r="I24" s="109"/>
      <c r="J24" s="2">
        <f>ROUND(H17/44*H20,2)</f>
        <v>1601.35</v>
      </c>
    </row>
    <row r="25" spans="1:17" ht="12.75" customHeight="1">
      <c r="A25" s="66" t="s">
        <v>7</v>
      </c>
      <c r="B25" s="109" t="s">
        <v>184</v>
      </c>
      <c r="C25" s="109"/>
      <c r="D25" s="109"/>
      <c r="E25" s="109"/>
      <c r="F25" s="109"/>
      <c r="G25" s="109"/>
      <c r="H25" s="109"/>
      <c r="I25" s="3"/>
      <c r="J25" s="2"/>
      <c r="K25" s="57"/>
    </row>
    <row r="26" spans="1:17" ht="12.75" customHeight="1">
      <c r="A26" s="66" t="s">
        <v>9</v>
      </c>
      <c r="B26" s="109" t="s">
        <v>27</v>
      </c>
      <c r="C26" s="109"/>
      <c r="D26" s="109"/>
      <c r="E26" s="109"/>
      <c r="F26" s="109"/>
      <c r="G26" s="109"/>
      <c r="H26" s="109"/>
      <c r="I26" s="109"/>
      <c r="J26" s="2"/>
    </row>
    <row r="27" spans="1:17" ht="12.75" customHeight="1">
      <c r="A27" s="66" t="s">
        <v>12</v>
      </c>
      <c r="B27" s="109" t="s">
        <v>28</v>
      </c>
      <c r="C27" s="109"/>
      <c r="D27" s="109"/>
      <c r="E27" s="109"/>
      <c r="F27" s="109"/>
      <c r="G27" s="109"/>
      <c r="H27" s="109"/>
      <c r="I27" s="109"/>
      <c r="J27" s="2"/>
    </row>
    <row r="28" spans="1:17" ht="12.75" customHeight="1">
      <c r="A28" s="66" t="s">
        <v>29</v>
      </c>
      <c r="B28" s="109" t="s">
        <v>30</v>
      </c>
      <c r="C28" s="109"/>
      <c r="D28" s="109"/>
      <c r="E28" s="109"/>
      <c r="F28" s="109"/>
      <c r="G28" s="109"/>
      <c r="H28" s="109"/>
      <c r="I28" s="109"/>
      <c r="J28" s="2"/>
      <c r="Q28" s="54"/>
    </row>
    <row r="29" spans="1:17" ht="12.75" customHeight="1">
      <c r="A29" s="1" t="s">
        <v>7</v>
      </c>
      <c r="B29" s="109" t="s">
        <v>26</v>
      </c>
      <c r="C29" s="109"/>
      <c r="D29" s="109"/>
      <c r="E29" s="109"/>
      <c r="F29" s="109"/>
      <c r="G29" s="109"/>
      <c r="H29" s="109"/>
      <c r="I29" s="4">
        <v>0.3</v>
      </c>
      <c r="J29" s="2">
        <f>I29*J24</f>
        <v>480.40499999999997</v>
      </c>
      <c r="Q29" s="54"/>
    </row>
    <row r="30" spans="1:17" ht="15.75" customHeight="1">
      <c r="A30" s="116" t="s">
        <v>32</v>
      </c>
      <c r="B30" s="116"/>
      <c r="C30" s="116"/>
      <c r="D30" s="116"/>
      <c r="E30" s="116"/>
      <c r="F30" s="116"/>
      <c r="G30" s="116"/>
      <c r="H30" s="116"/>
      <c r="I30" s="116"/>
      <c r="J30" s="5">
        <f>SUM(J24:J29)</f>
        <v>2081.7550000000001</v>
      </c>
    </row>
    <row r="31" spans="1:17" ht="13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Q31" s="54"/>
    </row>
    <row r="32" spans="1:17" ht="16.149999999999999" customHeight="1">
      <c r="A32" s="112" t="s">
        <v>33</v>
      </c>
      <c r="B32" s="112"/>
      <c r="C32" s="112"/>
      <c r="D32" s="112"/>
      <c r="E32" s="112"/>
      <c r="F32" s="112"/>
      <c r="G32" s="112"/>
      <c r="H32" s="112"/>
      <c r="I32" s="112"/>
      <c r="J32" s="112"/>
    </row>
    <row r="33" spans="1:13" ht="14">
      <c r="A33" s="129" t="s">
        <v>34</v>
      </c>
      <c r="B33" s="129"/>
      <c r="C33" s="129"/>
      <c r="D33" s="129"/>
      <c r="E33" s="129"/>
      <c r="F33" s="129"/>
      <c r="G33" s="129"/>
      <c r="H33" s="129"/>
      <c r="I33" s="129"/>
      <c r="J33" s="129"/>
    </row>
    <row r="34" spans="1:13" ht="14">
      <c r="A34" s="6" t="s">
        <v>35</v>
      </c>
      <c r="B34" s="130" t="s">
        <v>36</v>
      </c>
      <c r="C34" s="130"/>
      <c r="D34" s="130"/>
      <c r="E34" s="130"/>
      <c r="F34" s="130"/>
      <c r="G34" s="130"/>
      <c r="H34" s="130"/>
      <c r="I34" s="130"/>
      <c r="J34" s="7" t="s">
        <v>37</v>
      </c>
    </row>
    <row r="35" spans="1:13" ht="27.65" customHeight="1">
      <c r="A35" s="8" t="s">
        <v>5</v>
      </c>
      <c r="B35" s="109" t="s">
        <v>38</v>
      </c>
      <c r="C35" s="109"/>
      <c r="D35" s="109"/>
      <c r="E35" s="109"/>
      <c r="F35" s="109"/>
      <c r="G35" s="109"/>
      <c r="H35" s="109"/>
      <c r="I35" s="9">
        <v>8.3299999999999999E-2</v>
      </c>
      <c r="J35" s="10">
        <f>ROUND($J$30*I35,2)</f>
        <v>173.41</v>
      </c>
      <c r="M35" s="55"/>
    </row>
    <row r="36" spans="1:13" ht="36.25" customHeight="1">
      <c r="A36" s="8" t="s">
        <v>7</v>
      </c>
      <c r="B36" s="120" t="s">
        <v>39</v>
      </c>
      <c r="C36" s="120"/>
      <c r="D36" s="120"/>
      <c r="E36" s="120"/>
      <c r="F36" s="120"/>
      <c r="G36" s="120"/>
      <c r="H36" s="120"/>
      <c r="I36" s="11">
        <v>3.0249999999999999E-2</v>
      </c>
      <c r="J36" s="10">
        <f>ROUND($J$30*I36,2)</f>
        <v>62.97</v>
      </c>
    </row>
    <row r="37" spans="1:13" ht="13">
      <c r="A37" s="128" t="s">
        <v>40</v>
      </c>
      <c r="B37" s="128"/>
      <c r="C37" s="128"/>
      <c r="D37" s="128"/>
      <c r="E37" s="128"/>
      <c r="F37" s="128"/>
      <c r="G37" s="128"/>
      <c r="H37" s="128"/>
      <c r="I37" s="128"/>
      <c r="J37" s="65">
        <f>SUM(J35+J36)</f>
        <v>236.38</v>
      </c>
    </row>
    <row r="38" spans="1:13" ht="13">
      <c r="A38" s="101"/>
      <c r="B38" s="101"/>
      <c r="C38" s="101"/>
      <c r="D38" s="101"/>
      <c r="E38" s="101"/>
      <c r="F38" s="101"/>
      <c r="G38" s="101"/>
      <c r="H38" s="101"/>
      <c r="I38" s="101"/>
      <c r="J38" s="101"/>
    </row>
    <row r="39" spans="1:13" ht="30.4" customHeight="1">
      <c r="A39" s="112" t="s">
        <v>41</v>
      </c>
      <c r="B39" s="112"/>
      <c r="C39" s="112"/>
      <c r="D39" s="112"/>
      <c r="E39" s="112"/>
      <c r="F39" s="112"/>
      <c r="G39" s="112"/>
      <c r="H39" s="112"/>
      <c r="I39" s="112"/>
      <c r="J39" s="112"/>
    </row>
    <row r="40" spans="1:13" ht="30.4" customHeight="1">
      <c r="A40" s="63" t="s">
        <v>42</v>
      </c>
      <c r="B40" s="113" t="s">
        <v>43</v>
      </c>
      <c r="C40" s="113"/>
      <c r="D40" s="113"/>
      <c r="E40" s="113"/>
      <c r="F40" s="113"/>
      <c r="G40" s="113"/>
      <c r="H40" s="113"/>
      <c r="I40" s="64" t="s">
        <v>44</v>
      </c>
      <c r="J40" s="64" t="s">
        <v>45</v>
      </c>
    </row>
    <row r="41" spans="1:13" ht="13">
      <c r="A41" s="8" t="s">
        <v>5</v>
      </c>
      <c r="B41" s="104" t="s">
        <v>46</v>
      </c>
      <c r="C41" s="104"/>
      <c r="D41" s="104"/>
      <c r="E41" s="104"/>
      <c r="F41" s="104"/>
      <c r="G41" s="104"/>
      <c r="H41" s="104"/>
      <c r="I41" s="15">
        <v>0.2</v>
      </c>
      <c r="J41" s="16">
        <f>ROUND(($J$30+$J$37)*I41,2)</f>
        <v>463.63</v>
      </c>
    </row>
    <row r="42" spans="1:13" ht="13">
      <c r="A42" s="8" t="s">
        <v>7</v>
      </c>
      <c r="B42" s="104" t="s">
        <v>47</v>
      </c>
      <c r="C42" s="104"/>
      <c r="D42" s="104"/>
      <c r="E42" s="104"/>
      <c r="F42" s="104"/>
      <c r="G42" s="104"/>
      <c r="H42" s="104"/>
      <c r="I42" s="15">
        <v>2.5000000000000001E-2</v>
      </c>
      <c r="J42" s="16">
        <f t="shared" ref="J42:J48" si="0">ROUND(($J$30+$J$37)*I42,2)</f>
        <v>57.95</v>
      </c>
    </row>
    <row r="43" spans="1:13" ht="23.9" customHeight="1">
      <c r="A43" s="8" t="s">
        <v>9</v>
      </c>
      <c r="B43" s="109" t="s">
        <v>48</v>
      </c>
      <c r="C43" s="109"/>
      <c r="D43" s="109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23.18</v>
      </c>
    </row>
    <row r="44" spans="1:13" ht="13">
      <c r="A44" s="8" t="s">
        <v>12</v>
      </c>
      <c r="B44" s="104" t="s">
        <v>51</v>
      </c>
      <c r="C44" s="104"/>
      <c r="D44" s="104"/>
      <c r="E44" s="104"/>
      <c r="F44" s="104"/>
      <c r="G44" s="104"/>
      <c r="H44" s="104"/>
      <c r="I44" s="15">
        <v>1.4999999999999999E-2</v>
      </c>
      <c r="J44" s="16">
        <f t="shared" si="0"/>
        <v>34.770000000000003</v>
      </c>
    </row>
    <row r="45" spans="1:13" ht="13">
      <c r="A45" s="8" t="s">
        <v>29</v>
      </c>
      <c r="B45" s="104" t="s">
        <v>52</v>
      </c>
      <c r="C45" s="104"/>
      <c r="D45" s="104"/>
      <c r="E45" s="104"/>
      <c r="F45" s="104"/>
      <c r="G45" s="104"/>
      <c r="H45" s="104"/>
      <c r="I45" s="15">
        <v>0.01</v>
      </c>
      <c r="J45" s="16">
        <f t="shared" si="0"/>
        <v>23.18</v>
      </c>
    </row>
    <row r="46" spans="1:13" ht="13">
      <c r="A46" s="8" t="s">
        <v>53</v>
      </c>
      <c r="B46" s="104" t="s">
        <v>54</v>
      </c>
      <c r="C46" s="104"/>
      <c r="D46" s="104"/>
      <c r="E46" s="104"/>
      <c r="F46" s="104"/>
      <c r="G46" s="104"/>
      <c r="H46" s="104"/>
      <c r="I46" s="15">
        <v>6.0000000000000001E-3</v>
      </c>
      <c r="J46" s="16">
        <f t="shared" si="0"/>
        <v>13.91</v>
      </c>
    </row>
    <row r="47" spans="1:13" ht="13">
      <c r="A47" s="8" t="s">
        <v>55</v>
      </c>
      <c r="B47" s="104" t="s">
        <v>56</v>
      </c>
      <c r="C47" s="104"/>
      <c r="D47" s="104"/>
      <c r="E47" s="104"/>
      <c r="F47" s="104"/>
      <c r="G47" s="104"/>
      <c r="H47" s="104"/>
      <c r="I47" s="15">
        <v>2E-3</v>
      </c>
      <c r="J47" s="16">
        <f t="shared" si="0"/>
        <v>4.6399999999999997</v>
      </c>
    </row>
    <row r="48" spans="1:13" ht="13">
      <c r="A48" s="8" t="s">
        <v>57</v>
      </c>
      <c r="B48" s="104" t="s">
        <v>58</v>
      </c>
      <c r="C48" s="104"/>
      <c r="D48" s="104"/>
      <c r="E48" s="104"/>
      <c r="F48" s="104"/>
      <c r="G48" s="104"/>
      <c r="H48" s="104"/>
      <c r="I48" s="15">
        <v>0.08</v>
      </c>
      <c r="J48" s="16">
        <f t="shared" si="0"/>
        <v>185.45</v>
      </c>
    </row>
    <row r="49" spans="1:12" ht="13">
      <c r="A49" s="105" t="s">
        <v>40</v>
      </c>
      <c r="B49" s="105"/>
      <c r="C49" s="105"/>
      <c r="D49" s="105"/>
      <c r="E49" s="105"/>
      <c r="F49" s="105"/>
      <c r="G49" s="105"/>
      <c r="H49" s="105"/>
      <c r="I49" s="21">
        <f>SUM(I41:I48)</f>
        <v>0.34800000000000003</v>
      </c>
      <c r="J49" s="14">
        <f>SUM(J41:J48)</f>
        <v>806.70999999999981</v>
      </c>
    </row>
    <row r="50" spans="1:12" ht="13">
      <c r="A50" s="101"/>
      <c r="B50" s="101"/>
      <c r="C50" s="101"/>
      <c r="D50" s="101"/>
      <c r="E50" s="101"/>
      <c r="F50" s="101"/>
      <c r="G50" s="101"/>
      <c r="H50" s="101"/>
      <c r="I50" s="101"/>
      <c r="J50" s="101"/>
    </row>
    <row r="51" spans="1:12" ht="16.149999999999999" customHeight="1">
      <c r="A51" s="112" t="s">
        <v>59</v>
      </c>
      <c r="B51" s="112"/>
      <c r="C51" s="112"/>
      <c r="D51" s="112"/>
      <c r="E51" s="112"/>
      <c r="F51" s="112"/>
      <c r="G51" s="112"/>
      <c r="H51" s="112"/>
      <c r="I51" s="112"/>
      <c r="J51" s="112"/>
      <c r="L51" s="53"/>
    </row>
    <row r="52" spans="1:12" ht="16.149999999999999" customHeight="1">
      <c r="A52" s="69" t="s">
        <v>60</v>
      </c>
      <c r="B52" s="113" t="s">
        <v>61</v>
      </c>
      <c r="C52" s="113"/>
      <c r="D52" s="113"/>
      <c r="E52" s="113"/>
      <c r="F52" s="113"/>
      <c r="G52" s="113"/>
      <c r="H52" s="113"/>
      <c r="I52" s="113"/>
      <c r="J52" s="68" t="s">
        <v>37</v>
      </c>
    </row>
    <row r="53" spans="1:12" ht="13">
      <c r="A53" s="8" t="s">
        <v>5</v>
      </c>
      <c r="B53" s="104" t="s">
        <v>62</v>
      </c>
      <c r="C53" s="104"/>
      <c r="D53" s="104"/>
      <c r="E53" s="104"/>
      <c r="F53" s="104"/>
      <c r="G53" s="104"/>
      <c r="H53" s="104"/>
      <c r="I53" s="104"/>
      <c r="J53" s="16">
        <f>IF(ROUND((I56*I54*I55)-(J24*0.06),2)&lt;0,0,ROUND((I56*I54*I55)-(J24*0.06),2))</f>
        <v>153.52000000000001</v>
      </c>
    </row>
    <row r="54" spans="1:12" ht="13">
      <c r="A54" s="8"/>
      <c r="B54" s="121" t="s">
        <v>63</v>
      </c>
      <c r="C54" s="121"/>
      <c r="D54" s="121"/>
      <c r="E54" s="121"/>
      <c r="F54" s="121"/>
      <c r="G54" s="121"/>
      <c r="H54" s="121"/>
      <c r="I54" s="22">
        <v>4.8</v>
      </c>
      <c r="J54" s="51" t="s">
        <v>64</v>
      </c>
    </row>
    <row r="55" spans="1:12" ht="13">
      <c r="A55" s="8"/>
      <c r="B55" s="121" t="s">
        <v>65</v>
      </c>
      <c r="C55" s="121"/>
      <c r="D55" s="121"/>
      <c r="E55" s="121"/>
      <c r="F55" s="121"/>
      <c r="G55" s="121"/>
      <c r="H55" s="121"/>
      <c r="I55" s="23">
        <v>2</v>
      </c>
      <c r="J55" s="51"/>
    </row>
    <row r="56" spans="1:12" ht="13">
      <c r="A56" s="8"/>
      <c r="B56" s="121" t="s">
        <v>66</v>
      </c>
      <c r="C56" s="121"/>
      <c r="D56" s="121"/>
      <c r="E56" s="121"/>
      <c r="F56" s="121"/>
      <c r="G56" s="121"/>
      <c r="H56" s="121"/>
      <c r="I56" s="24">
        <v>26</v>
      </c>
      <c r="J56" s="51"/>
    </row>
    <row r="57" spans="1:12" ht="13">
      <c r="A57" s="8" t="s">
        <v>7</v>
      </c>
      <c r="B57" s="104" t="s">
        <v>67</v>
      </c>
      <c r="C57" s="104"/>
      <c r="D57" s="104"/>
      <c r="E57" s="104"/>
      <c r="F57" s="104"/>
      <c r="G57" s="104"/>
      <c r="H57" s="104"/>
      <c r="I57" s="104"/>
      <c r="J57" s="16">
        <f>ROUND((I58*I59)-(I59*I58*I60),2)</f>
        <v>359.61</v>
      </c>
    </row>
    <row r="58" spans="1:12" ht="13">
      <c r="A58" s="8"/>
      <c r="B58" s="121" t="s">
        <v>68</v>
      </c>
      <c r="C58" s="121"/>
      <c r="D58" s="121"/>
      <c r="E58" s="121"/>
      <c r="F58" s="121"/>
      <c r="G58" s="121"/>
      <c r="H58" s="121"/>
      <c r="I58" s="22">
        <v>20.18</v>
      </c>
      <c r="J58" s="51" t="s">
        <v>64</v>
      </c>
    </row>
    <row r="59" spans="1:12" ht="13">
      <c r="A59" s="25"/>
      <c r="B59" s="121" t="s">
        <v>69</v>
      </c>
      <c r="C59" s="121"/>
      <c r="D59" s="121"/>
      <c r="E59" s="121"/>
      <c r="F59" s="121"/>
      <c r="G59" s="121"/>
      <c r="H59" s="121"/>
      <c r="I59" s="26">
        <v>22</v>
      </c>
      <c r="J59" s="51"/>
    </row>
    <row r="60" spans="1:12" ht="13">
      <c r="A60" s="25"/>
      <c r="B60" s="121" t="s">
        <v>132</v>
      </c>
      <c r="C60" s="121"/>
      <c r="D60" s="121"/>
      <c r="E60" s="121"/>
      <c r="F60" s="121"/>
      <c r="G60" s="121"/>
      <c r="H60" s="121"/>
      <c r="I60" s="52">
        <v>0.19</v>
      </c>
      <c r="J60" s="51"/>
    </row>
    <row r="61" spans="1:12" ht="27.65" customHeight="1">
      <c r="A61" s="8"/>
      <c r="B61" s="121" t="s">
        <v>208</v>
      </c>
      <c r="C61" s="121"/>
      <c r="D61" s="121"/>
      <c r="E61" s="121"/>
      <c r="F61" s="121"/>
      <c r="G61" s="121"/>
      <c r="H61" s="121"/>
      <c r="I61" s="22">
        <f>I58/2</f>
        <v>10.09</v>
      </c>
      <c r="J61" s="16">
        <f>ROUND((I61*I62)-(I61*I62*I60),2)</f>
        <v>32.69</v>
      </c>
    </row>
    <row r="62" spans="1:12" ht="27.65" customHeight="1">
      <c r="A62" s="25"/>
      <c r="B62" s="121" t="s">
        <v>69</v>
      </c>
      <c r="C62" s="121"/>
      <c r="D62" s="121"/>
      <c r="E62" s="121"/>
      <c r="F62" s="121"/>
      <c r="G62" s="121"/>
      <c r="H62" s="121"/>
      <c r="I62" s="26">
        <v>4</v>
      </c>
      <c r="J62" s="51"/>
      <c r="L62" s="50"/>
    </row>
    <row r="63" spans="1:12" ht="27.65" customHeight="1">
      <c r="A63" s="8" t="s">
        <v>12</v>
      </c>
      <c r="B63" s="122" t="s">
        <v>186</v>
      </c>
      <c r="C63" s="123"/>
      <c r="D63" s="123"/>
      <c r="E63" s="123"/>
      <c r="F63" s="123"/>
      <c r="G63" s="123"/>
      <c r="H63" s="123"/>
      <c r="I63" s="124"/>
      <c r="J63" s="27">
        <v>17.32</v>
      </c>
      <c r="L63" s="50"/>
    </row>
    <row r="64" spans="1:12" ht="13">
      <c r="A64" s="125" t="s">
        <v>32</v>
      </c>
      <c r="B64" s="126"/>
      <c r="C64" s="126"/>
      <c r="D64" s="126"/>
      <c r="E64" s="126"/>
      <c r="F64" s="126"/>
      <c r="G64" s="126"/>
      <c r="H64" s="126"/>
      <c r="I64" s="127"/>
      <c r="J64" s="14">
        <f>SUM(J53:J63)</f>
        <v>563.14</v>
      </c>
      <c r="L64" s="50"/>
    </row>
    <row r="65" spans="1:12" ht="13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L65" s="50"/>
    </row>
    <row r="66" spans="1:12" ht="16.149999999999999" customHeight="1">
      <c r="A66" s="112" t="s">
        <v>71</v>
      </c>
      <c r="B66" s="112"/>
      <c r="C66" s="112"/>
      <c r="D66" s="112"/>
      <c r="E66" s="112"/>
      <c r="F66" s="112"/>
      <c r="G66" s="112"/>
      <c r="H66" s="112"/>
      <c r="I66" s="112"/>
      <c r="J66" s="112"/>
      <c r="L66" s="50"/>
    </row>
    <row r="67" spans="1:12" ht="16.149999999999999" customHeight="1">
      <c r="A67" s="64">
        <v>2</v>
      </c>
      <c r="B67" s="115" t="s">
        <v>72</v>
      </c>
      <c r="C67" s="115"/>
      <c r="D67" s="115"/>
      <c r="E67" s="115"/>
      <c r="F67" s="115"/>
      <c r="G67" s="115"/>
      <c r="H67" s="115"/>
      <c r="I67" s="115"/>
      <c r="J67" s="64" t="s">
        <v>37</v>
      </c>
      <c r="L67" s="50"/>
    </row>
    <row r="68" spans="1:12" ht="14.65" customHeight="1">
      <c r="A68" s="1" t="s">
        <v>35</v>
      </c>
      <c r="B68" s="1"/>
      <c r="C68" s="109" t="s">
        <v>73</v>
      </c>
      <c r="D68" s="109"/>
      <c r="E68" s="109"/>
      <c r="F68" s="109"/>
      <c r="G68" s="109"/>
      <c r="H68" s="109"/>
      <c r="I68" s="109"/>
      <c r="J68" s="28">
        <f>J37</f>
        <v>236.38</v>
      </c>
      <c r="L68" s="50"/>
    </row>
    <row r="69" spans="1:12" ht="14.65" customHeight="1">
      <c r="A69" s="1" t="s">
        <v>42</v>
      </c>
      <c r="B69" s="1"/>
      <c r="C69" s="109" t="s">
        <v>43</v>
      </c>
      <c r="D69" s="109"/>
      <c r="E69" s="109"/>
      <c r="F69" s="109"/>
      <c r="G69" s="109"/>
      <c r="H69" s="109"/>
      <c r="I69" s="109"/>
      <c r="J69" s="28">
        <f>J49</f>
        <v>806.70999999999981</v>
      </c>
      <c r="L69" s="50"/>
    </row>
    <row r="70" spans="1:12" ht="14.65" customHeight="1">
      <c r="A70" s="1" t="s">
        <v>60</v>
      </c>
      <c r="B70" s="1"/>
      <c r="C70" s="109" t="s">
        <v>61</v>
      </c>
      <c r="D70" s="109"/>
      <c r="E70" s="109"/>
      <c r="F70" s="109"/>
      <c r="G70" s="109"/>
      <c r="H70" s="109"/>
      <c r="I70" s="109"/>
      <c r="J70" s="28">
        <f>J64</f>
        <v>563.14</v>
      </c>
      <c r="L70" s="50"/>
    </row>
    <row r="71" spans="1:12" ht="14.65" customHeight="1">
      <c r="A71" s="116" t="s">
        <v>40</v>
      </c>
      <c r="B71" s="116"/>
      <c r="C71" s="116"/>
      <c r="D71" s="116"/>
      <c r="E71" s="116"/>
      <c r="F71" s="116"/>
      <c r="G71" s="116"/>
      <c r="H71" s="116"/>
      <c r="I71" s="116"/>
      <c r="J71" s="29">
        <f>SUM(J68+J69+J70)</f>
        <v>1606.2299999999996</v>
      </c>
    </row>
    <row r="72" spans="1:12" ht="13">
      <c r="A72" s="101"/>
      <c r="B72" s="101"/>
      <c r="C72" s="101"/>
      <c r="D72" s="101"/>
      <c r="E72" s="101"/>
      <c r="F72" s="101"/>
      <c r="G72" s="101"/>
      <c r="H72" s="101"/>
      <c r="I72" s="101"/>
      <c r="J72" s="101"/>
    </row>
    <row r="73" spans="1:12" ht="16.149999999999999" customHeight="1">
      <c r="A73" s="112" t="s">
        <v>74</v>
      </c>
      <c r="B73" s="112"/>
      <c r="C73" s="112"/>
      <c r="D73" s="112"/>
      <c r="E73" s="112"/>
      <c r="F73" s="112"/>
      <c r="G73" s="112"/>
      <c r="H73" s="112"/>
      <c r="I73" s="112"/>
      <c r="J73" s="112"/>
    </row>
    <row r="74" spans="1:12" ht="16.149999999999999" customHeight="1">
      <c r="A74" s="63">
        <v>3</v>
      </c>
      <c r="B74" s="115" t="s">
        <v>75</v>
      </c>
      <c r="C74" s="115"/>
      <c r="D74" s="115"/>
      <c r="E74" s="115"/>
      <c r="F74" s="115"/>
      <c r="G74" s="115"/>
      <c r="H74" s="115"/>
      <c r="I74" s="115"/>
      <c r="J74" s="63" t="s">
        <v>76</v>
      </c>
    </row>
    <row r="75" spans="1:12" ht="46.5" customHeight="1">
      <c r="A75" s="8" t="s">
        <v>5</v>
      </c>
      <c r="B75" s="109" t="s">
        <v>135</v>
      </c>
      <c r="C75" s="109"/>
      <c r="D75" s="109"/>
      <c r="E75" s="109"/>
      <c r="F75" s="109"/>
      <c r="G75" s="109"/>
      <c r="H75" s="109"/>
      <c r="I75" s="109"/>
      <c r="J75" s="16">
        <f>ROUND(((J30)+(J35)+(J30/12)+(J36))/12*0.01,2)</f>
        <v>2.08</v>
      </c>
      <c r="L75" s="50"/>
    </row>
    <row r="76" spans="1:12" ht="14.65" customHeight="1">
      <c r="A76" s="8" t="s">
        <v>7</v>
      </c>
      <c r="B76" s="109" t="s">
        <v>77</v>
      </c>
      <c r="C76" s="109"/>
      <c r="D76" s="109"/>
      <c r="E76" s="109"/>
      <c r="F76" s="109"/>
      <c r="G76" s="109"/>
      <c r="H76" s="109"/>
      <c r="I76" s="109"/>
      <c r="J76" s="16">
        <f>ROUND($J$75*I48,2)</f>
        <v>0.17</v>
      </c>
    </row>
    <row r="77" spans="1:12" ht="36.25" customHeight="1">
      <c r="A77" s="8" t="s">
        <v>9</v>
      </c>
      <c r="B77" s="109" t="s">
        <v>136</v>
      </c>
      <c r="C77" s="109"/>
      <c r="D77" s="109"/>
      <c r="E77" s="109"/>
      <c r="F77" s="109"/>
      <c r="G77" s="109"/>
      <c r="H77" s="109"/>
      <c r="I77" s="30">
        <v>2.3999999999999998E-3</v>
      </c>
      <c r="J77" s="16">
        <f>ROUND($J$30*I77,2)</f>
        <v>5</v>
      </c>
    </row>
    <row r="78" spans="1:12" ht="34.5" customHeight="1">
      <c r="A78" s="8" t="s">
        <v>12</v>
      </c>
      <c r="B78" s="109" t="s">
        <v>138</v>
      </c>
      <c r="C78" s="109"/>
      <c r="D78" s="109"/>
      <c r="E78" s="109"/>
      <c r="F78" s="109"/>
      <c r="G78" s="109"/>
      <c r="H78" s="109"/>
      <c r="I78" s="109"/>
      <c r="J78" s="16">
        <f>J30/30*7/12*0.05</f>
        <v>2.0239284722222224</v>
      </c>
    </row>
    <row r="79" spans="1:12" ht="14.65" customHeight="1">
      <c r="A79" s="8" t="s">
        <v>29</v>
      </c>
      <c r="B79" s="109" t="s">
        <v>78</v>
      </c>
      <c r="C79" s="109"/>
      <c r="D79" s="109"/>
      <c r="E79" s="109"/>
      <c r="F79" s="109"/>
      <c r="G79" s="109"/>
      <c r="H79" s="109"/>
      <c r="I79" s="109"/>
      <c r="J79" s="16">
        <f>ROUND($I$49*J78,2)</f>
        <v>0.7</v>
      </c>
    </row>
    <row r="80" spans="1:12" ht="36.25" customHeight="1">
      <c r="A80" s="8" t="s">
        <v>53</v>
      </c>
      <c r="B80" s="109" t="s">
        <v>137</v>
      </c>
      <c r="C80" s="109"/>
      <c r="D80" s="109"/>
      <c r="E80" s="109"/>
      <c r="F80" s="109"/>
      <c r="G80" s="109"/>
      <c r="H80" s="109"/>
      <c r="I80" s="30">
        <v>3.7600000000000001E-2</v>
      </c>
      <c r="J80" s="16">
        <f>ROUND($J$30*I80,2)</f>
        <v>78.27</v>
      </c>
    </row>
    <row r="81" spans="1:10" ht="13">
      <c r="A81" s="105" t="s">
        <v>40</v>
      </c>
      <c r="B81" s="105"/>
      <c r="C81" s="105"/>
      <c r="D81" s="105"/>
      <c r="E81" s="105"/>
      <c r="F81" s="105"/>
      <c r="G81" s="105"/>
      <c r="H81" s="105"/>
      <c r="I81" s="105"/>
      <c r="J81" s="14">
        <f>SUM(J75:J80)</f>
        <v>88.243928472222223</v>
      </c>
    </row>
    <row r="82" spans="1:10" ht="13">
      <c r="A82" s="101"/>
      <c r="B82" s="101"/>
      <c r="C82" s="101"/>
      <c r="D82" s="101"/>
      <c r="E82" s="101"/>
      <c r="F82" s="101"/>
      <c r="G82" s="101"/>
      <c r="H82" s="101"/>
      <c r="I82" s="101"/>
      <c r="J82" s="101"/>
    </row>
    <row r="83" spans="1:10" ht="16.149999999999999" customHeight="1">
      <c r="A83" s="112" t="s">
        <v>79</v>
      </c>
      <c r="B83" s="112"/>
      <c r="C83" s="112"/>
      <c r="D83" s="112"/>
      <c r="E83" s="112"/>
      <c r="F83" s="112"/>
      <c r="G83" s="112"/>
      <c r="H83" s="112"/>
      <c r="I83" s="112"/>
      <c r="J83" s="112"/>
    </row>
    <row r="84" spans="1:10" ht="15" customHeight="1">
      <c r="A84" s="119" t="s">
        <v>80</v>
      </c>
      <c r="B84" s="119"/>
      <c r="C84" s="119"/>
      <c r="D84" s="119"/>
      <c r="E84" s="119"/>
      <c r="F84" s="119"/>
      <c r="G84" s="119"/>
      <c r="H84" s="119"/>
      <c r="I84" s="119"/>
      <c r="J84" s="31">
        <f>J87+J30+J35+J36</f>
        <v>2507.0549999999998</v>
      </c>
    </row>
    <row r="85" spans="1:10" ht="14.65" customHeight="1">
      <c r="A85" s="120"/>
      <c r="B85" s="120"/>
      <c r="C85" s="120"/>
      <c r="D85" s="120"/>
      <c r="E85" s="120"/>
      <c r="F85" s="120"/>
      <c r="G85" s="120"/>
      <c r="H85" s="120"/>
      <c r="I85" s="120"/>
      <c r="J85" s="120"/>
    </row>
    <row r="86" spans="1:10" ht="14">
      <c r="A86" s="32" t="s">
        <v>81</v>
      </c>
      <c r="B86" s="113" t="s">
        <v>82</v>
      </c>
      <c r="C86" s="113"/>
      <c r="D86" s="113"/>
      <c r="E86" s="113"/>
      <c r="F86" s="113"/>
      <c r="G86" s="113"/>
      <c r="H86" s="113"/>
      <c r="I86" s="113"/>
      <c r="J86" s="32" t="s">
        <v>37</v>
      </c>
    </row>
    <row r="87" spans="1:10" ht="12.75" customHeight="1">
      <c r="A87" s="12" t="s">
        <v>5</v>
      </c>
      <c r="B87" s="109" t="s">
        <v>83</v>
      </c>
      <c r="C87" s="109"/>
      <c r="D87" s="109"/>
      <c r="E87" s="109"/>
      <c r="F87" s="109"/>
      <c r="G87" s="109"/>
      <c r="H87" s="109"/>
      <c r="I87" s="33">
        <f>12.1%-I36</f>
        <v>9.0749999999999997E-2</v>
      </c>
      <c r="J87" s="16">
        <f>ROUND(($J$30*I87),2)</f>
        <v>188.92</v>
      </c>
    </row>
    <row r="88" spans="1:10" ht="13">
      <c r="A88" s="12" t="s">
        <v>7</v>
      </c>
      <c r="B88" s="104" t="s">
        <v>131</v>
      </c>
      <c r="C88" s="104"/>
      <c r="D88" s="104"/>
      <c r="E88" s="104"/>
      <c r="F88" s="104"/>
      <c r="G88" s="104"/>
      <c r="H88" s="104"/>
      <c r="I88" s="104"/>
      <c r="J88" s="34">
        <f>J84/30*0.1/12</f>
        <v>0.6964041666666666</v>
      </c>
    </row>
    <row r="89" spans="1:10" ht="13">
      <c r="A89" s="12" t="s">
        <v>9</v>
      </c>
      <c r="B89" s="104" t="s">
        <v>84</v>
      </c>
      <c r="C89" s="104"/>
      <c r="D89" s="104"/>
      <c r="E89" s="104"/>
      <c r="F89" s="104"/>
      <c r="G89" s="104"/>
      <c r="H89" s="104"/>
      <c r="I89" s="104"/>
      <c r="J89" s="34">
        <f>J84/30*5/12*1.5%</f>
        <v>0.52230312499999998</v>
      </c>
    </row>
    <row r="90" spans="1:10" ht="13">
      <c r="A90" s="12" t="s">
        <v>12</v>
      </c>
      <c r="B90" s="104" t="s">
        <v>85</v>
      </c>
      <c r="C90" s="104"/>
      <c r="D90" s="104"/>
      <c r="E90" s="104"/>
      <c r="F90" s="104"/>
      <c r="G90" s="104"/>
      <c r="H90" s="104"/>
      <c r="I90" s="104"/>
      <c r="J90" s="13">
        <f>J84/30*15/12*0.78%</f>
        <v>0.81479287499999997</v>
      </c>
    </row>
    <row r="91" spans="1:10" ht="13">
      <c r="A91" s="12" t="s">
        <v>29</v>
      </c>
      <c r="B91" s="104" t="s">
        <v>86</v>
      </c>
      <c r="C91" s="104"/>
      <c r="D91" s="104"/>
      <c r="E91" s="104"/>
      <c r="F91" s="104"/>
      <c r="G91" s="104"/>
      <c r="H91" s="104"/>
      <c r="I91" s="104"/>
      <c r="J91" s="16">
        <f>(J30+J36)/12*4/12*1%</f>
        <v>0.59575694444444449</v>
      </c>
    </row>
    <row r="92" spans="1:10" ht="13">
      <c r="A92" s="35" t="s">
        <v>53</v>
      </c>
      <c r="B92" s="118" t="s">
        <v>87</v>
      </c>
      <c r="C92" s="118"/>
      <c r="D92" s="118"/>
      <c r="E92" s="118"/>
      <c r="F92" s="118"/>
      <c r="G92" s="118"/>
      <c r="H92" s="118"/>
      <c r="I92" s="118"/>
      <c r="J92" s="13">
        <f>J84/30*0.15/12</f>
        <v>1.04460625</v>
      </c>
    </row>
    <row r="93" spans="1:10" ht="13">
      <c r="A93" s="105" t="s">
        <v>40</v>
      </c>
      <c r="B93" s="105"/>
      <c r="C93" s="105"/>
      <c r="D93" s="105"/>
      <c r="E93" s="105"/>
      <c r="F93" s="105"/>
      <c r="G93" s="105"/>
      <c r="H93" s="105"/>
      <c r="I93" s="105"/>
      <c r="J93" s="36">
        <f>SUM(J87:J92)</f>
        <v>192.59386336111109</v>
      </c>
    </row>
    <row r="94" spans="1:10" ht="14.65" customHeight="1">
      <c r="A94" s="12"/>
      <c r="B94" s="104"/>
      <c r="C94" s="104"/>
      <c r="D94" s="104"/>
      <c r="E94" s="104"/>
      <c r="F94" s="104"/>
      <c r="G94" s="104"/>
      <c r="H94" s="104"/>
      <c r="I94" s="104"/>
      <c r="J94" s="13"/>
    </row>
    <row r="95" spans="1:10" ht="13">
      <c r="A95" s="105" t="s">
        <v>40</v>
      </c>
      <c r="B95" s="105"/>
      <c r="C95" s="105"/>
      <c r="D95" s="105"/>
      <c r="E95" s="105"/>
      <c r="F95" s="105"/>
      <c r="G95" s="105"/>
      <c r="H95" s="105"/>
      <c r="I95" s="105"/>
      <c r="J95" s="14">
        <f>SUM(J93:J94)</f>
        <v>192.59386336111109</v>
      </c>
    </row>
    <row r="96" spans="1:10" ht="16.149999999999999" customHeight="1">
      <c r="A96" s="112" t="s">
        <v>88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14">
      <c r="A97" s="63" t="s">
        <v>89</v>
      </c>
      <c r="B97" s="113" t="s">
        <v>90</v>
      </c>
      <c r="C97" s="113"/>
      <c r="D97" s="113"/>
      <c r="E97" s="113"/>
      <c r="F97" s="113"/>
      <c r="G97" s="113"/>
      <c r="H97" s="113"/>
      <c r="I97" s="113"/>
      <c r="J97" s="37" t="s">
        <v>37</v>
      </c>
    </row>
    <row r="98" spans="1:10" ht="13">
      <c r="A98" s="8" t="s">
        <v>5</v>
      </c>
      <c r="B98" s="104" t="s">
        <v>91</v>
      </c>
      <c r="C98" s="104"/>
      <c r="D98" s="104"/>
      <c r="E98" s="104"/>
      <c r="F98" s="104"/>
      <c r="G98" s="104"/>
      <c r="H98" s="104"/>
      <c r="I98" s="104"/>
      <c r="J98" s="16">
        <v>0</v>
      </c>
    </row>
    <row r="99" spans="1:10" ht="13">
      <c r="A99" s="117" t="s">
        <v>40</v>
      </c>
      <c r="B99" s="117"/>
      <c r="C99" s="117"/>
      <c r="D99" s="117"/>
      <c r="E99" s="117"/>
      <c r="F99" s="117"/>
      <c r="G99" s="117"/>
      <c r="H99" s="117"/>
      <c r="I99" s="117"/>
      <c r="J99" s="16">
        <v>0</v>
      </c>
    </row>
    <row r="100" spans="1:10" ht="13">
      <c r="A100" s="12"/>
      <c r="B100" s="104"/>
      <c r="C100" s="104"/>
      <c r="D100" s="104"/>
      <c r="E100" s="104"/>
      <c r="F100" s="104"/>
      <c r="G100" s="104"/>
      <c r="H100" s="104"/>
      <c r="I100" s="104"/>
      <c r="J100" s="13"/>
    </row>
    <row r="101" spans="1:10" ht="13">
      <c r="A101" s="105" t="s">
        <v>40</v>
      </c>
      <c r="B101" s="105"/>
      <c r="C101" s="105"/>
      <c r="D101" s="105"/>
      <c r="E101" s="105"/>
      <c r="F101" s="105"/>
      <c r="G101" s="105"/>
      <c r="H101" s="105"/>
      <c r="I101" s="105"/>
      <c r="J101" s="14">
        <f>SUM(J99:J100)</f>
        <v>0</v>
      </c>
    </row>
    <row r="102" spans="1:10" ht="13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</row>
    <row r="103" spans="1:10" ht="16.149999999999999" customHeight="1">
      <c r="A103" s="112" t="s">
        <v>92</v>
      </c>
      <c r="B103" s="112"/>
      <c r="C103" s="112"/>
      <c r="D103" s="112"/>
      <c r="E103" s="112"/>
      <c r="F103" s="112"/>
      <c r="G103" s="112"/>
      <c r="H103" s="112"/>
      <c r="I103" s="112"/>
      <c r="J103" s="112"/>
    </row>
    <row r="104" spans="1:10" ht="16.149999999999999" customHeight="1">
      <c r="A104" s="64">
        <v>4</v>
      </c>
      <c r="B104" s="115" t="s">
        <v>93</v>
      </c>
      <c r="C104" s="115"/>
      <c r="D104" s="115"/>
      <c r="E104" s="115"/>
      <c r="F104" s="115"/>
      <c r="G104" s="115"/>
      <c r="H104" s="115"/>
      <c r="I104" s="115"/>
      <c r="J104" s="37" t="s">
        <v>37</v>
      </c>
    </row>
    <row r="105" spans="1:10" ht="14.65" customHeight="1">
      <c r="A105" s="1" t="s">
        <v>81</v>
      </c>
      <c r="B105" s="109" t="s">
        <v>94</v>
      </c>
      <c r="C105" s="109"/>
      <c r="D105" s="109"/>
      <c r="E105" s="109"/>
      <c r="F105" s="109"/>
      <c r="G105" s="109"/>
      <c r="H105" s="109"/>
      <c r="I105" s="109"/>
      <c r="J105" s="16">
        <f>J95</f>
        <v>192.59386336111109</v>
      </c>
    </row>
    <row r="106" spans="1:10" ht="14.65" customHeight="1">
      <c r="A106" s="1" t="s">
        <v>95</v>
      </c>
      <c r="B106" s="109" t="s">
        <v>96</v>
      </c>
      <c r="C106" s="109"/>
      <c r="D106" s="109"/>
      <c r="E106" s="109"/>
      <c r="F106" s="109"/>
      <c r="G106" s="109"/>
      <c r="H106" s="109"/>
      <c r="I106" s="109"/>
      <c r="J106" s="16">
        <f>J101</f>
        <v>0</v>
      </c>
    </row>
    <row r="107" spans="1:10" ht="14.65" customHeight="1">
      <c r="A107" s="116" t="s">
        <v>40</v>
      </c>
      <c r="B107" s="116"/>
      <c r="C107" s="116"/>
      <c r="D107" s="116"/>
      <c r="E107" s="116"/>
      <c r="F107" s="116"/>
      <c r="G107" s="116"/>
      <c r="H107" s="116"/>
      <c r="I107" s="116"/>
      <c r="J107" s="14">
        <f>SUM(J105+J106)</f>
        <v>192.59386336111109</v>
      </c>
    </row>
    <row r="108" spans="1:10" ht="13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</row>
    <row r="109" spans="1:10" ht="16.149999999999999" customHeight="1">
      <c r="A109" s="112" t="s">
        <v>97</v>
      </c>
      <c r="B109" s="112"/>
      <c r="C109" s="112"/>
      <c r="D109" s="112"/>
      <c r="E109" s="112"/>
      <c r="F109" s="112"/>
      <c r="G109" s="112"/>
      <c r="H109" s="112"/>
      <c r="I109" s="112"/>
      <c r="J109" s="112"/>
    </row>
    <row r="110" spans="1:10" ht="16.149999999999999" customHeight="1">
      <c r="A110" s="63">
        <v>5</v>
      </c>
      <c r="B110" s="113" t="s">
        <v>98</v>
      </c>
      <c r="C110" s="113"/>
      <c r="D110" s="113"/>
      <c r="E110" s="113"/>
      <c r="F110" s="113"/>
      <c r="G110" s="113"/>
      <c r="H110" s="113"/>
      <c r="I110" s="113"/>
      <c r="J110" s="63" t="s">
        <v>37</v>
      </c>
    </row>
    <row r="111" spans="1:10" ht="13">
      <c r="A111" s="8" t="s">
        <v>5</v>
      </c>
      <c r="B111" s="104" t="s">
        <v>185</v>
      </c>
      <c r="C111" s="104"/>
      <c r="D111" s="104"/>
      <c r="E111" s="104"/>
      <c r="F111" s="104"/>
      <c r="G111" s="104"/>
      <c r="H111" s="104"/>
      <c r="I111" s="104"/>
      <c r="J111" s="16">
        <f>Descritivo!E48</f>
        <v>91.369065656565652</v>
      </c>
    </row>
    <row r="112" spans="1:10" ht="13">
      <c r="A112" s="8" t="s">
        <v>7</v>
      </c>
      <c r="B112" s="104" t="s">
        <v>99</v>
      </c>
      <c r="C112" s="104"/>
      <c r="D112" s="104"/>
      <c r="E112" s="104"/>
      <c r="F112" s="104"/>
      <c r="G112" s="104"/>
      <c r="H112" s="104"/>
      <c r="I112" s="104"/>
      <c r="J112" s="27">
        <f>Descritivo!D93</f>
        <v>116.16919191919192</v>
      </c>
    </row>
    <row r="113" spans="1:10" ht="13">
      <c r="A113" s="8" t="s">
        <v>9</v>
      </c>
      <c r="B113" s="104" t="s">
        <v>139</v>
      </c>
      <c r="C113" s="104"/>
      <c r="D113" s="104"/>
      <c r="E113" s="104"/>
      <c r="F113" s="104"/>
      <c r="G113" s="104"/>
      <c r="H113" s="104"/>
      <c r="I113" s="104"/>
      <c r="J113" s="27">
        <f>Descritivo!C101</f>
        <v>36.363636363636367</v>
      </c>
    </row>
    <row r="114" spans="1:10" ht="13">
      <c r="A114" s="8" t="s">
        <v>12</v>
      </c>
      <c r="B114" s="104" t="s">
        <v>100</v>
      </c>
      <c r="C114" s="104"/>
      <c r="D114" s="104"/>
      <c r="E114" s="104"/>
      <c r="F114" s="104"/>
      <c r="G114" s="104"/>
      <c r="H114" s="104"/>
      <c r="I114" s="104"/>
      <c r="J114" s="27"/>
    </row>
    <row r="115" spans="1:10" ht="13">
      <c r="A115" s="105" t="s">
        <v>32</v>
      </c>
      <c r="B115" s="105"/>
      <c r="C115" s="105"/>
      <c r="D115" s="105"/>
      <c r="E115" s="105"/>
      <c r="F115" s="105"/>
      <c r="G115" s="105"/>
      <c r="H115" s="105"/>
      <c r="I115" s="105"/>
      <c r="J115" s="38">
        <f>SUM(J111:J114)</f>
        <v>243.90189393939394</v>
      </c>
    </row>
    <row r="116" spans="1:10" ht="13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</row>
    <row r="117" spans="1:10" ht="16.149999999999999" customHeight="1">
      <c r="A117" s="112" t="s">
        <v>101</v>
      </c>
      <c r="B117" s="112"/>
      <c r="C117" s="112"/>
      <c r="D117" s="112"/>
      <c r="E117" s="112"/>
      <c r="F117" s="112"/>
      <c r="G117" s="112"/>
      <c r="H117" s="112"/>
      <c r="I117" s="112"/>
      <c r="J117" s="112"/>
    </row>
    <row r="118" spans="1:10" ht="28">
      <c r="A118" s="63">
        <v>6</v>
      </c>
      <c r="B118" s="113" t="s">
        <v>102</v>
      </c>
      <c r="C118" s="113"/>
      <c r="D118" s="113"/>
      <c r="E118" s="113"/>
      <c r="F118" s="113"/>
      <c r="G118" s="113"/>
      <c r="H118" s="113"/>
      <c r="I118" s="64" t="s">
        <v>44</v>
      </c>
      <c r="J118" s="39" t="s">
        <v>103</v>
      </c>
    </row>
    <row r="119" spans="1:10" ht="12.75" customHeight="1">
      <c r="A119" s="111" t="s">
        <v>104</v>
      </c>
      <c r="B119" s="111"/>
      <c r="C119" s="111"/>
      <c r="D119" s="111"/>
      <c r="E119" s="111"/>
      <c r="F119" s="111"/>
      <c r="G119" s="111"/>
      <c r="H119" s="111"/>
      <c r="I119" s="40" t="s">
        <v>64</v>
      </c>
      <c r="J119" s="41">
        <f>SUM(J30+J71+J81+J107+J115)</f>
        <v>4212.7246857727268</v>
      </c>
    </row>
    <row r="120" spans="1:10" ht="15.5">
      <c r="A120" s="42" t="s">
        <v>5</v>
      </c>
      <c r="B120" s="110" t="s">
        <v>105</v>
      </c>
      <c r="C120" s="110"/>
      <c r="D120" s="110"/>
      <c r="E120" s="110"/>
      <c r="F120" s="110"/>
      <c r="G120" s="110"/>
      <c r="H120" s="110"/>
      <c r="I120" s="15">
        <v>0.1091</v>
      </c>
      <c r="J120" s="16">
        <f>ROUND(I120*J119,2)</f>
        <v>459.61</v>
      </c>
    </row>
    <row r="121" spans="1:10" ht="12.75" customHeight="1">
      <c r="A121" s="111" t="s">
        <v>106</v>
      </c>
      <c r="B121" s="111"/>
      <c r="C121" s="111"/>
      <c r="D121" s="111"/>
      <c r="E121" s="111"/>
      <c r="F121" s="111"/>
      <c r="G121" s="111"/>
      <c r="H121" s="111"/>
      <c r="I121" s="43" t="s">
        <v>64</v>
      </c>
      <c r="J121" s="41">
        <f>SUM(J30+J71+J81+J107+J115+J120)</f>
        <v>4672.3346857727265</v>
      </c>
    </row>
    <row r="122" spans="1:10" ht="15.5">
      <c r="A122" s="42" t="s">
        <v>7</v>
      </c>
      <c r="B122" s="110" t="s">
        <v>107</v>
      </c>
      <c r="C122" s="110"/>
      <c r="D122" s="110"/>
      <c r="E122" s="110"/>
      <c r="F122" s="110"/>
      <c r="G122" s="110"/>
      <c r="H122" s="110"/>
      <c r="I122" s="20">
        <v>0.15109700000000001</v>
      </c>
      <c r="J122" s="16">
        <f>ROUND(I122*J121,2)</f>
        <v>705.98</v>
      </c>
    </row>
    <row r="123" spans="1:10" ht="12.75" customHeight="1">
      <c r="A123" s="111" t="s">
        <v>108</v>
      </c>
      <c r="B123" s="111"/>
      <c r="C123" s="111"/>
      <c r="D123" s="111"/>
      <c r="E123" s="111"/>
      <c r="F123" s="111"/>
      <c r="G123" s="111"/>
      <c r="H123" s="111"/>
      <c r="I123" s="43" t="s">
        <v>64</v>
      </c>
      <c r="J123" s="41">
        <f>SUM(J30+J71+J81+J107+J115+J120+J122)</f>
        <v>5378.3146857727261</v>
      </c>
    </row>
    <row r="124" spans="1:10" ht="15.5">
      <c r="A124" s="42" t="s">
        <v>9</v>
      </c>
      <c r="B124" s="110" t="s">
        <v>109</v>
      </c>
      <c r="C124" s="110"/>
      <c r="D124" s="110"/>
      <c r="E124" s="110"/>
      <c r="F124" s="110"/>
      <c r="G124" s="110"/>
      <c r="H124" s="110"/>
      <c r="I124" s="9" t="s">
        <v>64</v>
      </c>
      <c r="J124" s="51" t="s">
        <v>64</v>
      </c>
    </row>
    <row r="125" spans="1:10" ht="13">
      <c r="A125" s="8"/>
      <c r="B125" s="104" t="s">
        <v>110</v>
      </c>
      <c r="C125" s="104"/>
      <c r="D125" s="104"/>
      <c r="E125" s="104"/>
      <c r="F125" s="104"/>
      <c r="G125" s="104"/>
      <c r="H125" s="104"/>
      <c r="I125" s="9" t="s">
        <v>64</v>
      </c>
      <c r="J125" s="51" t="s">
        <v>64</v>
      </c>
    </row>
    <row r="126" spans="1:10" ht="13">
      <c r="A126" s="8"/>
      <c r="B126" s="104" t="s">
        <v>111</v>
      </c>
      <c r="C126" s="104"/>
      <c r="D126" s="104"/>
      <c r="E126" s="104"/>
      <c r="F126" s="104"/>
      <c r="G126" s="104"/>
      <c r="H126" s="104"/>
      <c r="I126" s="44">
        <v>0.03</v>
      </c>
      <c r="J126" s="16">
        <f>ROUND(($J$123/(1-$I$135))*I126,2)</f>
        <v>176.63</v>
      </c>
    </row>
    <row r="127" spans="1:10" ht="13">
      <c r="A127" s="8"/>
      <c r="B127" s="104" t="s">
        <v>112</v>
      </c>
      <c r="C127" s="104"/>
      <c r="D127" s="104"/>
      <c r="E127" s="104"/>
      <c r="F127" s="104"/>
      <c r="G127" s="104"/>
      <c r="H127" s="104"/>
      <c r="I127" s="44">
        <v>6.4999999999999997E-3</v>
      </c>
      <c r="J127" s="16">
        <f>ROUND(($J$123/(1-$I$135))*I127,2)</f>
        <v>38.270000000000003</v>
      </c>
    </row>
    <row r="128" spans="1:10" ht="27.65" customHeight="1">
      <c r="A128" s="8"/>
      <c r="B128" s="109" t="s">
        <v>113</v>
      </c>
      <c r="C128" s="109"/>
      <c r="D128" s="109"/>
      <c r="E128" s="109"/>
      <c r="F128" s="109"/>
      <c r="G128" s="109"/>
      <c r="H128" s="109"/>
      <c r="I128" s="45" t="s">
        <v>64</v>
      </c>
      <c r="J128" s="51" t="s">
        <v>64</v>
      </c>
    </row>
    <row r="129" spans="1:10" ht="27.65" customHeight="1">
      <c r="A129" s="8"/>
      <c r="B129" s="109" t="s">
        <v>114</v>
      </c>
      <c r="C129" s="109"/>
      <c r="D129" s="109"/>
      <c r="E129" s="109"/>
      <c r="F129" s="109"/>
      <c r="G129" s="109"/>
      <c r="H129" s="109"/>
      <c r="I129" s="45" t="s">
        <v>64</v>
      </c>
      <c r="J129" s="51" t="s">
        <v>64</v>
      </c>
    </row>
    <row r="130" spans="1:10" ht="13">
      <c r="A130" s="8"/>
      <c r="B130" s="104" t="s">
        <v>115</v>
      </c>
      <c r="C130" s="104"/>
      <c r="D130" s="104"/>
      <c r="E130" s="104"/>
      <c r="F130" s="104"/>
      <c r="G130" s="104"/>
      <c r="H130" s="104"/>
      <c r="I130" s="45" t="s">
        <v>64</v>
      </c>
      <c r="J130" s="51" t="s">
        <v>64</v>
      </c>
    </row>
    <row r="131" spans="1:10" ht="13">
      <c r="A131" s="8"/>
      <c r="B131" s="104" t="s">
        <v>116</v>
      </c>
      <c r="C131" s="104"/>
      <c r="D131" s="104"/>
      <c r="E131" s="104"/>
      <c r="F131" s="104"/>
      <c r="G131" s="104"/>
      <c r="H131" s="104"/>
      <c r="I131" s="45" t="s">
        <v>64</v>
      </c>
      <c r="J131" s="51" t="s">
        <v>64</v>
      </c>
    </row>
    <row r="132" spans="1:10" ht="13">
      <c r="A132" s="8"/>
      <c r="B132" s="104" t="s">
        <v>134</v>
      </c>
      <c r="C132" s="104"/>
      <c r="D132" s="104"/>
      <c r="E132" s="104"/>
      <c r="F132" s="104"/>
      <c r="G132" s="104"/>
      <c r="H132" s="104"/>
      <c r="I132" s="44">
        <v>0.05</v>
      </c>
      <c r="J132" s="16">
        <f>ROUND(($J$123/(1-$I$135))*I132,2)</f>
        <v>294.38</v>
      </c>
    </row>
    <row r="133" spans="1:10" ht="13">
      <c r="A133" s="105" t="s">
        <v>40</v>
      </c>
      <c r="B133" s="105"/>
      <c r="C133" s="105"/>
      <c r="D133" s="105"/>
      <c r="E133" s="105"/>
      <c r="F133" s="105"/>
      <c r="G133" s="105"/>
      <c r="H133" s="105"/>
      <c r="I133" s="105"/>
      <c r="J133" s="14">
        <f>SUM(J120+J122+J126+J127+J132)</f>
        <v>1674.8700000000003</v>
      </c>
    </row>
    <row r="134" spans="1:10" ht="13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</row>
    <row r="135" spans="1:10" ht="14.65" customHeight="1">
      <c r="A135" s="106" t="s">
        <v>117</v>
      </c>
      <c r="B135" s="106"/>
      <c r="C135" s="106"/>
      <c r="D135" s="106"/>
      <c r="E135" s="106"/>
      <c r="F135" s="106"/>
      <c r="G135" s="106"/>
      <c r="H135" s="106"/>
      <c r="I135" s="46">
        <f>SUM(I126:I132)</f>
        <v>8.6499999999999994E-2</v>
      </c>
      <c r="J135" s="41">
        <f>SUM(J126:J132)</f>
        <v>509.28</v>
      </c>
    </row>
    <row r="136" spans="1:10">
      <c r="A136" s="107" t="s">
        <v>118</v>
      </c>
      <c r="B136" s="107"/>
      <c r="C136" s="107"/>
      <c r="D136" s="108" t="s">
        <v>119</v>
      </c>
      <c r="E136" s="108"/>
      <c r="F136" s="108"/>
      <c r="G136" s="108"/>
      <c r="H136" s="108"/>
      <c r="I136" s="108"/>
      <c r="J136" s="108"/>
    </row>
    <row r="137" spans="1:10">
      <c r="A137" s="107"/>
      <c r="B137" s="107"/>
      <c r="C137" s="107"/>
      <c r="D137" s="108" t="s">
        <v>120</v>
      </c>
      <c r="E137" s="108"/>
      <c r="F137" s="108"/>
      <c r="G137" s="108"/>
      <c r="H137" s="108"/>
      <c r="I137" s="108"/>
      <c r="J137" s="108"/>
    </row>
    <row r="138" spans="1:10">
      <c r="A138" s="107"/>
      <c r="B138" s="107"/>
      <c r="C138" s="107"/>
      <c r="D138" s="108" t="s">
        <v>121</v>
      </c>
      <c r="E138" s="108"/>
      <c r="F138" s="108"/>
      <c r="G138" s="108"/>
      <c r="H138" s="108"/>
      <c r="I138" s="108"/>
      <c r="J138" s="108"/>
    </row>
    <row r="139" spans="1:10" ht="13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</row>
    <row r="140" spans="1:10" ht="46" customHeight="1">
      <c r="A140" s="102" t="s">
        <v>122</v>
      </c>
      <c r="B140" s="102"/>
      <c r="C140" s="102"/>
      <c r="D140" s="102"/>
      <c r="E140" s="102"/>
      <c r="F140" s="102"/>
      <c r="G140" s="102"/>
      <c r="H140" s="102"/>
      <c r="I140" s="102"/>
      <c r="J140" s="102"/>
    </row>
    <row r="141" spans="1:10" ht="14.65" customHeight="1">
      <c r="A141" s="103" t="s">
        <v>123</v>
      </c>
      <c r="B141" s="103"/>
      <c r="C141" s="103"/>
      <c r="D141" s="103"/>
      <c r="E141" s="103"/>
      <c r="F141" s="103"/>
      <c r="G141" s="103"/>
      <c r="H141" s="103"/>
      <c r="I141" s="103"/>
      <c r="J141" s="47" t="s">
        <v>37</v>
      </c>
    </row>
    <row r="142" spans="1:10" ht="14.65" customHeight="1">
      <c r="A142" s="48" t="s">
        <v>5</v>
      </c>
      <c r="B142" s="99" t="s">
        <v>124</v>
      </c>
      <c r="C142" s="99"/>
      <c r="D142" s="99"/>
      <c r="E142" s="99"/>
      <c r="F142" s="99"/>
      <c r="G142" s="99"/>
      <c r="H142" s="99"/>
      <c r="I142" s="99"/>
      <c r="J142" s="27">
        <f>J30</f>
        <v>2081.7550000000001</v>
      </c>
    </row>
    <row r="143" spans="1:10" ht="14.65" customHeight="1">
      <c r="A143" s="48" t="s">
        <v>7</v>
      </c>
      <c r="B143" s="99" t="s">
        <v>33</v>
      </c>
      <c r="C143" s="99"/>
      <c r="D143" s="99"/>
      <c r="E143" s="99"/>
      <c r="F143" s="99"/>
      <c r="G143" s="99"/>
      <c r="H143" s="99"/>
      <c r="I143" s="99"/>
      <c r="J143" s="27">
        <f>J71</f>
        <v>1606.2299999999996</v>
      </c>
    </row>
    <row r="144" spans="1:10" ht="14.65" customHeight="1">
      <c r="A144" s="48" t="s">
        <v>9</v>
      </c>
      <c r="B144" s="99" t="s">
        <v>125</v>
      </c>
      <c r="C144" s="99"/>
      <c r="D144" s="99"/>
      <c r="E144" s="99"/>
      <c r="F144" s="99"/>
      <c r="G144" s="99"/>
      <c r="H144" s="99"/>
      <c r="I144" s="99"/>
      <c r="J144" s="27">
        <f>J81</f>
        <v>88.243928472222223</v>
      </c>
    </row>
    <row r="145" spans="1:12" ht="14.65" customHeight="1">
      <c r="A145" s="48" t="s">
        <v>12</v>
      </c>
      <c r="B145" s="99" t="s">
        <v>126</v>
      </c>
      <c r="C145" s="99"/>
      <c r="D145" s="99"/>
      <c r="E145" s="99"/>
      <c r="F145" s="99"/>
      <c r="G145" s="99"/>
      <c r="H145" s="99"/>
      <c r="I145" s="99"/>
      <c r="J145" s="27">
        <f>J107</f>
        <v>192.59386336111109</v>
      </c>
    </row>
    <row r="146" spans="1:12" ht="14.65" customHeight="1">
      <c r="A146" s="48" t="s">
        <v>29</v>
      </c>
      <c r="B146" s="99" t="s">
        <v>127</v>
      </c>
      <c r="C146" s="99"/>
      <c r="D146" s="99"/>
      <c r="E146" s="99"/>
      <c r="F146" s="99"/>
      <c r="G146" s="99"/>
      <c r="H146" s="99"/>
      <c r="I146" s="99"/>
      <c r="J146" s="27">
        <f>J115</f>
        <v>243.90189393939394</v>
      </c>
    </row>
    <row r="147" spans="1:12" ht="14.65" customHeight="1">
      <c r="A147" s="100" t="s">
        <v>128</v>
      </c>
      <c r="B147" s="100"/>
      <c r="C147" s="100"/>
      <c r="D147" s="100"/>
      <c r="E147" s="100"/>
      <c r="F147" s="100"/>
      <c r="G147" s="100"/>
      <c r="H147" s="100"/>
      <c r="I147" s="100"/>
      <c r="J147" s="38">
        <f>SUM(J142:J146)</f>
        <v>4212.7246857727268</v>
      </c>
    </row>
    <row r="148" spans="1:12" ht="14.65" customHeight="1">
      <c r="A148" s="48" t="s">
        <v>53</v>
      </c>
      <c r="B148" s="99" t="s">
        <v>129</v>
      </c>
      <c r="C148" s="99"/>
      <c r="D148" s="99"/>
      <c r="E148" s="99"/>
      <c r="F148" s="99"/>
      <c r="G148" s="99"/>
      <c r="H148" s="99"/>
      <c r="I148" s="99"/>
      <c r="J148" s="27">
        <f>J133</f>
        <v>1674.8700000000003</v>
      </c>
    </row>
    <row r="149" spans="1:12" ht="14.65" customHeight="1">
      <c r="A149" s="100" t="s">
        <v>130</v>
      </c>
      <c r="B149" s="100"/>
      <c r="C149" s="100"/>
      <c r="D149" s="100"/>
      <c r="E149" s="100"/>
      <c r="F149" s="100"/>
      <c r="G149" s="100"/>
      <c r="H149" s="100"/>
      <c r="I149" s="100"/>
      <c r="J149" s="38">
        <f>SUM(J147:J148)</f>
        <v>5887.5946857727267</v>
      </c>
    </row>
    <row r="150" spans="1:12" ht="27.5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A1:J1"/>
    <mergeCell ref="A2:J2"/>
    <mergeCell ref="A3:G3"/>
    <mergeCell ref="H3:J3"/>
    <mergeCell ref="A4:G4"/>
    <mergeCell ref="H4:J4"/>
    <mergeCell ref="B61:H61"/>
    <mergeCell ref="B62:H62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60:H60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E8874-51B1-442C-B1F6-20048B1F75E8}">
  <sheetPr>
    <tabColor rgb="FF0070C0"/>
  </sheetPr>
  <dimension ref="A1:Q172"/>
  <sheetViews>
    <sheetView showGridLines="0" view="pageBreakPreview" topLeftCell="A41" zoomScaleNormal="100" zoomScaleSheetLayoutView="100" zoomScalePageLayoutView="95" workbookViewId="0">
      <selection activeCell="J64" sqref="J64"/>
    </sheetView>
  </sheetViews>
  <sheetFormatPr defaultRowHeight="12.5"/>
  <cols>
    <col min="1" max="9" width="8.7265625" customWidth="1"/>
    <col min="10" max="10" width="15.453125" customWidth="1"/>
    <col min="11" max="11" width="17.453125" customWidth="1"/>
    <col min="12" max="12" width="17" customWidth="1"/>
    <col min="13" max="16" width="8.7265625" customWidth="1"/>
    <col min="17" max="17" width="10.81640625" customWidth="1"/>
    <col min="18" max="1025" width="8.7265625" customWidth="1"/>
  </cols>
  <sheetData>
    <row r="1" spans="1:12" ht="24.25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2" ht="46.5" customHeight="1">
      <c r="A2" s="136" t="s">
        <v>297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2" ht="14.65" customHeight="1">
      <c r="A3" s="109" t="s">
        <v>1</v>
      </c>
      <c r="B3" s="109"/>
      <c r="C3" s="109"/>
      <c r="D3" s="109"/>
      <c r="E3" s="109"/>
      <c r="F3" s="109"/>
      <c r="G3" s="109"/>
      <c r="H3" s="138" t="s">
        <v>145</v>
      </c>
      <c r="I3" s="139"/>
      <c r="J3" s="139"/>
    </row>
    <row r="4" spans="1:12" ht="14.65" customHeight="1">
      <c r="A4" s="109" t="s">
        <v>2</v>
      </c>
      <c r="B4" s="109"/>
      <c r="C4" s="109"/>
      <c r="D4" s="109"/>
      <c r="E4" s="109"/>
      <c r="F4" s="109"/>
      <c r="G4" s="109"/>
      <c r="H4" s="140" t="s">
        <v>144</v>
      </c>
      <c r="I4" s="139"/>
      <c r="J4" s="139"/>
    </row>
    <row r="5" spans="1:12" ht="14.65" customHeight="1">
      <c r="A5" s="109" t="s">
        <v>3</v>
      </c>
      <c r="B5" s="109"/>
      <c r="C5" s="109"/>
      <c r="D5" s="109"/>
      <c r="E5" s="109"/>
      <c r="F5" s="109"/>
      <c r="G5" s="109"/>
      <c r="H5" s="109"/>
      <c r="I5" s="109"/>
      <c r="J5" s="109"/>
    </row>
    <row r="6" spans="1:12" ht="16.149999999999999" customHeight="1">
      <c r="A6" s="142" t="s">
        <v>4</v>
      </c>
      <c r="B6" s="142"/>
      <c r="C6" s="142"/>
      <c r="D6" s="142"/>
      <c r="E6" s="142"/>
      <c r="F6" s="142"/>
      <c r="G6" s="142"/>
      <c r="H6" s="142"/>
      <c r="I6" s="142"/>
      <c r="J6" s="142"/>
    </row>
    <row r="7" spans="1:12" ht="14.65" customHeight="1">
      <c r="A7" s="1" t="s">
        <v>5</v>
      </c>
      <c r="B7" s="109" t="s">
        <v>6</v>
      </c>
      <c r="C7" s="109"/>
      <c r="D7" s="109"/>
      <c r="E7" s="109"/>
      <c r="F7" s="109"/>
      <c r="G7" s="109"/>
      <c r="H7" s="141">
        <v>44029</v>
      </c>
      <c r="I7" s="141"/>
      <c r="J7" s="141"/>
    </row>
    <row r="8" spans="1:12" ht="14.65" customHeight="1">
      <c r="A8" s="1" t="s">
        <v>7</v>
      </c>
      <c r="B8" s="109" t="s">
        <v>8</v>
      </c>
      <c r="C8" s="109"/>
      <c r="D8" s="109"/>
      <c r="E8" s="109"/>
      <c r="F8" s="109"/>
      <c r="G8" s="109"/>
      <c r="H8" s="141" t="s">
        <v>140</v>
      </c>
      <c r="I8" s="141"/>
      <c r="J8" s="141"/>
    </row>
    <row r="9" spans="1:12" ht="39" customHeight="1">
      <c r="A9" s="1" t="s">
        <v>9</v>
      </c>
      <c r="B9" s="109" t="s">
        <v>10</v>
      </c>
      <c r="C9" s="109"/>
      <c r="D9" s="109"/>
      <c r="E9" s="109"/>
      <c r="F9" s="109"/>
      <c r="G9" s="109"/>
      <c r="H9" s="141" t="s">
        <v>11</v>
      </c>
      <c r="I9" s="141"/>
      <c r="J9" s="141"/>
      <c r="L9" s="55"/>
    </row>
    <row r="10" spans="1:12" ht="14.65" customHeight="1">
      <c r="A10" s="1" t="s">
        <v>12</v>
      </c>
      <c r="B10" s="109" t="s">
        <v>13</v>
      </c>
      <c r="C10" s="109"/>
      <c r="D10" s="109"/>
      <c r="E10" s="109"/>
      <c r="F10" s="109"/>
      <c r="G10" s="109"/>
      <c r="H10" s="139">
        <v>12</v>
      </c>
      <c r="I10" s="139"/>
      <c r="J10" s="139"/>
    </row>
    <row r="11" spans="1:12" ht="13">
      <c r="A11" s="101"/>
      <c r="B11" s="101"/>
      <c r="C11" s="101"/>
      <c r="D11" s="101"/>
      <c r="E11" s="101"/>
      <c r="F11" s="101"/>
      <c r="G11" s="101"/>
      <c r="H11" s="101"/>
      <c r="I11" s="101"/>
      <c r="J11" s="101"/>
    </row>
    <row r="12" spans="1:12" ht="48.75" customHeight="1">
      <c r="A12" s="132" t="s">
        <v>14</v>
      </c>
      <c r="B12" s="132"/>
      <c r="C12" s="132"/>
      <c r="D12" s="132"/>
      <c r="E12" s="132"/>
      <c r="F12" s="132"/>
      <c r="G12" s="132"/>
      <c r="H12" s="132"/>
      <c r="I12" s="132"/>
      <c r="J12" s="132"/>
      <c r="L12" s="55"/>
    </row>
    <row r="13" spans="1:12" ht="13">
      <c r="A13" s="101"/>
      <c r="B13" s="101"/>
      <c r="C13" s="101"/>
      <c r="D13" s="101"/>
      <c r="E13" s="101"/>
      <c r="F13" s="101"/>
      <c r="G13" s="101"/>
      <c r="H13" s="101"/>
      <c r="I13" s="101"/>
      <c r="J13" s="101"/>
    </row>
    <row r="14" spans="1:12" ht="16.149999999999999" customHeight="1">
      <c r="A14" s="115" t="s">
        <v>15</v>
      </c>
      <c r="B14" s="115"/>
      <c r="C14" s="115"/>
      <c r="D14" s="115"/>
      <c r="E14" s="115"/>
      <c r="F14" s="115"/>
      <c r="G14" s="115"/>
      <c r="H14" s="115"/>
      <c r="I14" s="115"/>
      <c r="J14" s="115"/>
      <c r="L14" s="55"/>
    </row>
    <row r="15" spans="1:12" ht="16.149999999999999" customHeight="1">
      <c r="A15" s="1">
        <v>1</v>
      </c>
      <c r="B15" s="109" t="s">
        <v>16</v>
      </c>
      <c r="C15" s="109"/>
      <c r="D15" s="109"/>
      <c r="E15" s="109"/>
      <c r="F15" s="109"/>
      <c r="G15" s="109"/>
      <c r="H15" s="134" t="s">
        <v>17</v>
      </c>
      <c r="I15" s="134"/>
      <c r="J15" s="134"/>
    </row>
    <row r="16" spans="1:12" ht="16.149999999999999" customHeight="1">
      <c r="A16" s="1">
        <v>2</v>
      </c>
      <c r="B16" s="109" t="s">
        <v>18</v>
      </c>
      <c r="C16" s="109"/>
      <c r="D16" s="109"/>
      <c r="E16" s="109"/>
      <c r="F16" s="109"/>
      <c r="G16" s="109"/>
      <c r="H16" s="134">
        <v>9511</v>
      </c>
      <c r="I16" s="134"/>
      <c r="J16" s="134"/>
    </row>
    <row r="17" spans="1:17" ht="16.149999999999999" customHeight="1">
      <c r="A17" s="1">
        <v>3</v>
      </c>
      <c r="B17" s="109" t="s">
        <v>19</v>
      </c>
      <c r="C17" s="109"/>
      <c r="D17" s="109"/>
      <c r="E17" s="109"/>
      <c r="F17" s="109"/>
      <c r="G17" s="109"/>
      <c r="H17" s="143">
        <v>1314.09</v>
      </c>
      <c r="I17" s="143"/>
      <c r="J17" s="143"/>
    </row>
    <row r="18" spans="1:17" ht="16.149999999999999" customHeight="1">
      <c r="A18" s="1">
        <v>4</v>
      </c>
      <c r="B18" s="109" t="s">
        <v>20</v>
      </c>
      <c r="C18" s="109"/>
      <c r="D18" s="109"/>
      <c r="E18" s="109"/>
      <c r="F18" s="109"/>
      <c r="G18" s="109"/>
      <c r="H18" s="134" t="s">
        <v>166</v>
      </c>
      <c r="I18" s="134"/>
      <c r="J18" s="134"/>
    </row>
    <row r="19" spans="1:17" ht="16.149999999999999" customHeight="1">
      <c r="A19" s="1">
        <v>5</v>
      </c>
      <c r="B19" s="109" t="s">
        <v>21</v>
      </c>
      <c r="C19" s="109"/>
      <c r="D19" s="109"/>
      <c r="E19" s="109"/>
      <c r="F19" s="109"/>
      <c r="G19" s="109"/>
      <c r="H19" s="133" t="s">
        <v>141</v>
      </c>
      <c r="I19" s="133"/>
      <c r="J19" s="133"/>
    </row>
    <row r="20" spans="1:17" ht="16.149999999999999" customHeight="1">
      <c r="A20" s="1">
        <v>5</v>
      </c>
      <c r="B20" s="109" t="s">
        <v>133</v>
      </c>
      <c r="C20" s="109"/>
      <c r="D20" s="109"/>
      <c r="E20" s="109"/>
      <c r="F20" s="109"/>
      <c r="G20" s="109"/>
      <c r="H20" s="131">
        <v>44</v>
      </c>
      <c r="I20" s="131"/>
      <c r="J20" s="131"/>
    </row>
    <row r="21" spans="1:17" ht="13">
      <c r="A21" s="101"/>
      <c r="B21" s="101"/>
      <c r="C21" s="101"/>
      <c r="D21" s="101"/>
      <c r="E21" s="101"/>
      <c r="F21" s="101"/>
      <c r="G21" s="101"/>
      <c r="H21" s="101"/>
      <c r="I21" s="101"/>
      <c r="J21" s="101"/>
    </row>
    <row r="22" spans="1:17" ht="20.65" customHeight="1">
      <c r="A22" s="132" t="s">
        <v>22</v>
      </c>
      <c r="B22" s="132"/>
      <c r="C22" s="132"/>
      <c r="D22" s="132"/>
      <c r="E22" s="132"/>
      <c r="F22" s="132"/>
      <c r="G22" s="132"/>
      <c r="H22" s="132"/>
      <c r="I22" s="132"/>
      <c r="J22" s="132"/>
    </row>
    <row r="23" spans="1:17" ht="30.4" customHeight="1">
      <c r="A23" s="64">
        <v>1</v>
      </c>
      <c r="B23" s="115" t="s">
        <v>23</v>
      </c>
      <c r="C23" s="115"/>
      <c r="D23" s="115"/>
      <c r="E23" s="115"/>
      <c r="F23" s="115"/>
      <c r="G23" s="115"/>
      <c r="H23" s="115" t="s">
        <v>24</v>
      </c>
      <c r="I23" s="115"/>
      <c r="J23" s="64" t="s">
        <v>25</v>
      </c>
    </row>
    <row r="24" spans="1:17" ht="12.75" customHeight="1">
      <c r="A24" s="1" t="s">
        <v>5</v>
      </c>
      <c r="B24" s="109" t="s">
        <v>143</v>
      </c>
      <c r="C24" s="109"/>
      <c r="D24" s="109"/>
      <c r="E24" s="109"/>
      <c r="F24" s="109"/>
      <c r="G24" s="109"/>
      <c r="H24" s="109"/>
      <c r="I24" s="109"/>
      <c r="J24" s="2">
        <f>ROUND(H17/44*H20,2)</f>
        <v>1314.09</v>
      </c>
    </row>
    <row r="25" spans="1:17" ht="12.75" customHeight="1">
      <c r="A25" s="66" t="s">
        <v>7</v>
      </c>
      <c r="B25" s="109" t="s">
        <v>26</v>
      </c>
      <c r="C25" s="109"/>
      <c r="D25" s="109"/>
      <c r="E25" s="109"/>
      <c r="F25" s="109"/>
      <c r="G25" s="109"/>
      <c r="H25" s="109"/>
      <c r="I25" s="3"/>
      <c r="J25" s="2"/>
      <c r="K25" s="57"/>
    </row>
    <row r="26" spans="1:17" ht="12.75" customHeight="1">
      <c r="A26" s="66" t="s">
        <v>9</v>
      </c>
      <c r="B26" s="109" t="s">
        <v>27</v>
      </c>
      <c r="C26" s="109"/>
      <c r="D26" s="109"/>
      <c r="E26" s="109"/>
      <c r="F26" s="109"/>
      <c r="G26" s="109"/>
      <c r="H26" s="109"/>
      <c r="I26" s="109"/>
      <c r="J26" s="2"/>
    </row>
    <row r="27" spans="1:17" ht="12.75" customHeight="1">
      <c r="A27" s="66" t="s">
        <v>12</v>
      </c>
      <c r="B27" s="109" t="s">
        <v>28</v>
      </c>
      <c r="C27" s="109"/>
      <c r="D27" s="109"/>
      <c r="E27" s="109"/>
      <c r="F27" s="109"/>
      <c r="G27" s="109"/>
      <c r="H27" s="109"/>
      <c r="I27" s="109"/>
      <c r="J27" s="2"/>
    </row>
    <row r="28" spans="1:17" ht="12.75" customHeight="1">
      <c r="A28" s="66" t="s">
        <v>29</v>
      </c>
      <c r="B28" s="109" t="s">
        <v>30</v>
      </c>
      <c r="C28" s="109"/>
      <c r="D28" s="109"/>
      <c r="E28" s="109"/>
      <c r="F28" s="109"/>
      <c r="G28" s="109"/>
      <c r="H28" s="109"/>
      <c r="I28" s="109"/>
      <c r="J28" s="2"/>
      <c r="Q28" s="54"/>
    </row>
    <row r="29" spans="1:17" ht="12.75" customHeight="1">
      <c r="A29" s="1" t="s">
        <v>7</v>
      </c>
      <c r="B29" s="109" t="s">
        <v>31</v>
      </c>
      <c r="C29" s="109"/>
      <c r="D29" s="109"/>
      <c r="E29" s="109"/>
      <c r="F29" s="109"/>
      <c r="G29" s="109"/>
      <c r="H29" s="109"/>
      <c r="I29" s="4">
        <v>0.2</v>
      </c>
      <c r="J29" s="2">
        <f>I29*J24</f>
        <v>262.81799999999998</v>
      </c>
      <c r="Q29" s="54"/>
    </row>
    <row r="30" spans="1:17" ht="15.75" customHeight="1">
      <c r="A30" s="116" t="s">
        <v>32</v>
      </c>
      <c r="B30" s="116"/>
      <c r="C30" s="116"/>
      <c r="D30" s="116"/>
      <c r="E30" s="116"/>
      <c r="F30" s="116"/>
      <c r="G30" s="116"/>
      <c r="H30" s="116"/>
      <c r="I30" s="116"/>
      <c r="J30" s="5">
        <f>SUM(J24:J29)</f>
        <v>1576.9079999999999</v>
      </c>
    </row>
    <row r="31" spans="1:17" ht="13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Q31" s="54"/>
    </row>
    <row r="32" spans="1:17" ht="16.149999999999999" customHeight="1">
      <c r="A32" s="112" t="s">
        <v>33</v>
      </c>
      <c r="B32" s="112"/>
      <c r="C32" s="112"/>
      <c r="D32" s="112"/>
      <c r="E32" s="112"/>
      <c r="F32" s="112"/>
      <c r="G32" s="112"/>
      <c r="H32" s="112"/>
      <c r="I32" s="112"/>
      <c r="J32" s="112"/>
    </row>
    <row r="33" spans="1:13" ht="14">
      <c r="A33" s="129" t="s">
        <v>34</v>
      </c>
      <c r="B33" s="129"/>
      <c r="C33" s="129"/>
      <c r="D33" s="129"/>
      <c r="E33" s="129"/>
      <c r="F33" s="129"/>
      <c r="G33" s="129"/>
      <c r="H33" s="129"/>
      <c r="I33" s="129"/>
      <c r="J33" s="129"/>
    </row>
    <row r="34" spans="1:13" ht="14">
      <c r="A34" s="6" t="s">
        <v>35</v>
      </c>
      <c r="B34" s="130" t="s">
        <v>36</v>
      </c>
      <c r="C34" s="130"/>
      <c r="D34" s="130"/>
      <c r="E34" s="130"/>
      <c r="F34" s="130"/>
      <c r="G34" s="130"/>
      <c r="H34" s="130"/>
      <c r="I34" s="130"/>
      <c r="J34" s="7" t="s">
        <v>37</v>
      </c>
    </row>
    <row r="35" spans="1:13" ht="27.65" customHeight="1">
      <c r="A35" s="8" t="s">
        <v>5</v>
      </c>
      <c r="B35" s="109" t="s">
        <v>38</v>
      </c>
      <c r="C35" s="109"/>
      <c r="D35" s="109"/>
      <c r="E35" s="109"/>
      <c r="F35" s="109"/>
      <c r="G35" s="109"/>
      <c r="H35" s="109"/>
      <c r="I35" s="9">
        <v>8.3299999999999999E-2</v>
      </c>
      <c r="J35" s="10">
        <f>ROUND($J$30*I35,2)</f>
        <v>131.36000000000001</v>
      </c>
      <c r="M35" s="55"/>
    </row>
    <row r="36" spans="1:13" ht="36.25" customHeight="1">
      <c r="A36" s="8" t="s">
        <v>7</v>
      </c>
      <c r="B36" s="120" t="s">
        <v>39</v>
      </c>
      <c r="C36" s="120"/>
      <c r="D36" s="120"/>
      <c r="E36" s="120"/>
      <c r="F36" s="120"/>
      <c r="G36" s="120"/>
      <c r="H36" s="120"/>
      <c r="I36" s="11">
        <v>3.0249999999999999E-2</v>
      </c>
      <c r="J36" s="10">
        <f>ROUND($J$30*I36,2)</f>
        <v>47.7</v>
      </c>
    </row>
    <row r="37" spans="1:13" ht="13">
      <c r="A37" s="128" t="s">
        <v>40</v>
      </c>
      <c r="B37" s="128"/>
      <c r="C37" s="128"/>
      <c r="D37" s="128"/>
      <c r="E37" s="128"/>
      <c r="F37" s="128"/>
      <c r="G37" s="128"/>
      <c r="H37" s="128"/>
      <c r="I37" s="128"/>
      <c r="J37" s="65">
        <f>SUM(J35+J36)</f>
        <v>179.06</v>
      </c>
    </row>
    <row r="38" spans="1:13" ht="13">
      <c r="A38" s="101"/>
      <c r="B38" s="101"/>
      <c r="C38" s="101"/>
      <c r="D38" s="101"/>
      <c r="E38" s="101"/>
      <c r="F38" s="101"/>
      <c r="G38" s="101"/>
      <c r="H38" s="101"/>
      <c r="I38" s="101"/>
      <c r="J38" s="101"/>
    </row>
    <row r="39" spans="1:13" ht="30.4" customHeight="1">
      <c r="A39" s="112" t="s">
        <v>41</v>
      </c>
      <c r="B39" s="112"/>
      <c r="C39" s="112"/>
      <c r="D39" s="112"/>
      <c r="E39" s="112"/>
      <c r="F39" s="112"/>
      <c r="G39" s="112"/>
      <c r="H39" s="112"/>
      <c r="I39" s="112"/>
      <c r="J39" s="112"/>
    </row>
    <row r="40" spans="1:13" ht="30.4" customHeight="1">
      <c r="A40" s="63" t="s">
        <v>42</v>
      </c>
      <c r="B40" s="113" t="s">
        <v>43</v>
      </c>
      <c r="C40" s="113"/>
      <c r="D40" s="113"/>
      <c r="E40" s="113"/>
      <c r="F40" s="113"/>
      <c r="G40" s="113"/>
      <c r="H40" s="113"/>
      <c r="I40" s="64" t="s">
        <v>44</v>
      </c>
      <c r="J40" s="64" t="s">
        <v>45</v>
      </c>
    </row>
    <row r="41" spans="1:13" ht="13">
      <c r="A41" s="8" t="s">
        <v>5</v>
      </c>
      <c r="B41" s="104" t="s">
        <v>46</v>
      </c>
      <c r="C41" s="104"/>
      <c r="D41" s="104"/>
      <c r="E41" s="104"/>
      <c r="F41" s="104"/>
      <c r="G41" s="104"/>
      <c r="H41" s="104"/>
      <c r="I41" s="15">
        <v>0.2</v>
      </c>
      <c r="J41" s="16">
        <f>ROUND(($J$30+$J$37)*I41,2)</f>
        <v>351.19</v>
      </c>
    </row>
    <row r="42" spans="1:13" ht="13">
      <c r="A42" s="8" t="s">
        <v>7</v>
      </c>
      <c r="B42" s="104" t="s">
        <v>47</v>
      </c>
      <c r="C42" s="104"/>
      <c r="D42" s="104"/>
      <c r="E42" s="104"/>
      <c r="F42" s="104"/>
      <c r="G42" s="104"/>
      <c r="H42" s="104"/>
      <c r="I42" s="15">
        <v>2.5000000000000001E-2</v>
      </c>
      <c r="J42" s="16">
        <f t="shared" ref="J42:J48" si="0">ROUND(($J$30+$J$37)*I42,2)</f>
        <v>43.9</v>
      </c>
    </row>
    <row r="43" spans="1:13" ht="23.9" customHeight="1">
      <c r="A43" s="8" t="s">
        <v>9</v>
      </c>
      <c r="B43" s="109" t="s">
        <v>48</v>
      </c>
      <c r="C43" s="109"/>
      <c r="D43" s="109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17.559999999999999</v>
      </c>
    </row>
    <row r="44" spans="1:13" ht="13">
      <c r="A44" s="8" t="s">
        <v>12</v>
      </c>
      <c r="B44" s="104" t="s">
        <v>51</v>
      </c>
      <c r="C44" s="104"/>
      <c r="D44" s="104"/>
      <c r="E44" s="104"/>
      <c r="F44" s="104"/>
      <c r="G44" s="104"/>
      <c r="H44" s="104"/>
      <c r="I44" s="15">
        <v>1.4999999999999999E-2</v>
      </c>
      <c r="J44" s="16">
        <f t="shared" si="0"/>
        <v>26.34</v>
      </c>
    </row>
    <row r="45" spans="1:13" ht="13">
      <c r="A45" s="8" t="s">
        <v>29</v>
      </c>
      <c r="B45" s="104" t="s">
        <v>52</v>
      </c>
      <c r="C45" s="104"/>
      <c r="D45" s="104"/>
      <c r="E45" s="104"/>
      <c r="F45" s="104"/>
      <c r="G45" s="104"/>
      <c r="H45" s="104"/>
      <c r="I45" s="15">
        <v>0.01</v>
      </c>
      <c r="J45" s="16">
        <f t="shared" si="0"/>
        <v>17.559999999999999</v>
      </c>
    </row>
    <row r="46" spans="1:13" ht="13">
      <c r="A46" s="8" t="s">
        <v>53</v>
      </c>
      <c r="B46" s="104" t="s">
        <v>54</v>
      </c>
      <c r="C46" s="104"/>
      <c r="D46" s="104"/>
      <c r="E46" s="104"/>
      <c r="F46" s="104"/>
      <c r="G46" s="104"/>
      <c r="H46" s="104"/>
      <c r="I46" s="15">
        <v>6.0000000000000001E-3</v>
      </c>
      <c r="J46" s="16">
        <f t="shared" si="0"/>
        <v>10.54</v>
      </c>
    </row>
    <row r="47" spans="1:13" ht="13">
      <c r="A47" s="8" t="s">
        <v>55</v>
      </c>
      <c r="B47" s="104" t="s">
        <v>56</v>
      </c>
      <c r="C47" s="104"/>
      <c r="D47" s="104"/>
      <c r="E47" s="104"/>
      <c r="F47" s="104"/>
      <c r="G47" s="104"/>
      <c r="H47" s="104"/>
      <c r="I47" s="15">
        <v>2E-3</v>
      </c>
      <c r="J47" s="16">
        <f t="shared" si="0"/>
        <v>3.51</v>
      </c>
    </row>
    <row r="48" spans="1:13" ht="13">
      <c r="A48" s="8" t="s">
        <v>57</v>
      </c>
      <c r="B48" s="104" t="s">
        <v>58</v>
      </c>
      <c r="C48" s="104"/>
      <c r="D48" s="104"/>
      <c r="E48" s="104"/>
      <c r="F48" s="104"/>
      <c r="G48" s="104"/>
      <c r="H48" s="104"/>
      <c r="I48" s="15">
        <v>0.08</v>
      </c>
      <c r="J48" s="16">
        <f t="shared" si="0"/>
        <v>140.47999999999999</v>
      </c>
    </row>
    <row r="49" spans="1:12" ht="13">
      <c r="A49" s="105" t="s">
        <v>40</v>
      </c>
      <c r="B49" s="105"/>
      <c r="C49" s="105"/>
      <c r="D49" s="105"/>
      <c r="E49" s="105"/>
      <c r="F49" s="105"/>
      <c r="G49" s="105"/>
      <c r="H49" s="105"/>
      <c r="I49" s="21">
        <f>SUM(I41:I48)</f>
        <v>0.34800000000000003</v>
      </c>
      <c r="J49" s="14">
        <f>SUM(J41:J48)</f>
        <v>611.07999999999993</v>
      </c>
    </row>
    <row r="50" spans="1:12" ht="13">
      <c r="A50" s="101"/>
      <c r="B50" s="101"/>
      <c r="C50" s="101"/>
      <c r="D50" s="101"/>
      <c r="E50" s="101"/>
      <c r="F50" s="101"/>
      <c r="G50" s="101"/>
      <c r="H50" s="101"/>
      <c r="I50" s="101"/>
      <c r="J50" s="101"/>
    </row>
    <row r="51" spans="1:12" ht="16.149999999999999" customHeight="1">
      <c r="A51" s="112" t="s">
        <v>59</v>
      </c>
      <c r="B51" s="112"/>
      <c r="C51" s="112"/>
      <c r="D51" s="112"/>
      <c r="E51" s="112"/>
      <c r="F51" s="112"/>
      <c r="G51" s="112"/>
      <c r="H51" s="112"/>
      <c r="I51" s="112"/>
      <c r="J51" s="112"/>
      <c r="L51" s="53"/>
    </row>
    <row r="52" spans="1:12" ht="16.149999999999999" customHeight="1">
      <c r="A52" s="69" t="s">
        <v>60</v>
      </c>
      <c r="B52" s="113" t="s">
        <v>61</v>
      </c>
      <c r="C52" s="113"/>
      <c r="D52" s="113"/>
      <c r="E52" s="113"/>
      <c r="F52" s="113"/>
      <c r="G52" s="113"/>
      <c r="H52" s="113"/>
      <c r="I52" s="113"/>
      <c r="J52" s="68" t="s">
        <v>37</v>
      </c>
    </row>
    <row r="53" spans="1:12" ht="13">
      <c r="A53" s="8" t="s">
        <v>5</v>
      </c>
      <c r="B53" s="104" t="s">
        <v>62</v>
      </c>
      <c r="C53" s="104"/>
      <c r="D53" s="104"/>
      <c r="E53" s="104"/>
      <c r="F53" s="104"/>
      <c r="G53" s="104"/>
      <c r="H53" s="104"/>
      <c r="I53" s="104"/>
      <c r="J53" s="16">
        <f>IF(ROUND((I56*I54*I55)-(J24*0.06),2)&lt;0,0,ROUND((I56*I54*I55)-(J24*0.06),2))</f>
        <v>170.75</v>
      </c>
    </row>
    <row r="54" spans="1:12" ht="13">
      <c r="A54" s="8"/>
      <c r="B54" s="121" t="s">
        <v>63</v>
      </c>
      <c r="C54" s="121"/>
      <c r="D54" s="121"/>
      <c r="E54" s="121"/>
      <c r="F54" s="121"/>
      <c r="G54" s="121"/>
      <c r="H54" s="121"/>
      <c r="I54" s="22">
        <v>4.8</v>
      </c>
      <c r="J54" s="51" t="s">
        <v>64</v>
      </c>
    </row>
    <row r="55" spans="1:12" ht="13">
      <c r="A55" s="8"/>
      <c r="B55" s="121" t="s">
        <v>65</v>
      </c>
      <c r="C55" s="121"/>
      <c r="D55" s="121"/>
      <c r="E55" s="121"/>
      <c r="F55" s="121"/>
      <c r="G55" s="121"/>
      <c r="H55" s="121"/>
      <c r="I55" s="23">
        <v>2</v>
      </c>
      <c r="J55" s="51"/>
    </row>
    <row r="56" spans="1:12" ht="13">
      <c r="A56" s="8"/>
      <c r="B56" s="121" t="s">
        <v>66</v>
      </c>
      <c r="C56" s="121"/>
      <c r="D56" s="121"/>
      <c r="E56" s="121"/>
      <c r="F56" s="121"/>
      <c r="G56" s="121"/>
      <c r="H56" s="121"/>
      <c r="I56" s="24">
        <v>26</v>
      </c>
      <c r="J56" s="51"/>
    </row>
    <row r="57" spans="1:12" ht="13">
      <c r="A57" s="8" t="s">
        <v>7</v>
      </c>
      <c r="B57" s="104" t="s">
        <v>67</v>
      </c>
      <c r="C57" s="104"/>
      <c r="D57" s="104"/>
      <c r="E57" s="104"/>
      <c r="F57" s="104"/>
      <c r="G57" s="104"/>
      <c r="H57" s="104"/>
      <c r="I57" s="104"/>
      <c r="J57" s="16">
        <f>ROUND((I58*I59)-(I59*I58*I60),2)</f>
        <v>359.61</v>
      </c>
    </row>
    <row r="58" spans="1:12" ht="13">
      <c r="A58" s="8"/>
      <c r="B58" s="121" t="s">
        <v>68</v>
      </c>
      <c r="C58" s="121"/>
      <c r="D58" s="121"/>
      <c r="E58" s="121"/>
      <c r="F58" s="121"/>
      <c r="G58" s="121"/>
      <c r="H58" s="121"/>
      <c r="I58" s="22">
        <v>20.18</v>
      </c>
      <c r="J58" s="51" t="s">
        <v>64</v>
      </c>
    </row>
    <row r="59" spans="1:12" ht="13">
      <c r="A59" s="25"/>
      <c r="B59" s="121" t="s">
        <v>69</v>
      </c>
      <c r="C59" s="121"/>
      <c r="D59" s="121"/>
      <c r="E59" s="121"/>
      <c r="F59" s="121"/>
      <c r="G59" s="121"/>
      <c r="H59" s="121"/>
      <c r="I59" s="26">
        <v>22</v>
      </c>
      <c r="J59" s="51"/>
    </row>
    <row r="60" spans="1:12" ht="13">
      <c r="A60" s="25"/>
      <c r="B60" s="121" t="s">
        <v>132</v>
      </c>
      <c r="C60" s="121"/>
      <c r="D60" s="121"/>
      <c r="E60" s="121"/>
      <c r="F60" s="121"/>
      <c r="G60" s="121"/>
      <c r="H60" s="121"/>
      <c r="I60" s="52">
        <v>0.19</v>
      </c>
      <c r="J60" s="51"/>
    </row>
    <row r="61" spans="1:12" ht="27.65" customHeight="1">
      <c r="A61" s="8"/>
      <c r="B61" s="121" t="s">
        <v>208</v>
      </c>
      <c r="C61" s="121"/>
      <c r="D61" s="121"/>
      <c r="E61" s="121"/>
      <c r="F61" s="121"/>
      <c r="G61" s="121"/>
      <c r="H61" s="121"/>
      <c r="I61" s="22">
        <f>I58/2</f>
        <v>10.09</v>
      </c>
      <c r="J61" s="16">
        <f>ROUND((I61*I62)-(I61*I62*I60),2)</f>
        <v>32.69</v>
      </c>
    </row>
    <row r="62" spans="1:12" ht="27.65" customHeight="1">
      <c r="A62" s="25"/>
      <c r="B62" s="121" t="s">
        <v>69</v>
      </c>
      <c r="C62" s="121"/>
      <c r="D62" s="121"/>
      <c r="E62" s="121"/>
      <c r="F62" s="121"/>
      <c r="G62" s="121"/>
      <c r="H62" s="121"/>
      <c r="I62" s="26">
        <v>4</v>
      </c>
      <c r="J62" s="51"/>
      <c r="L62" s="50"/>
    </row>
    <row r="63" spans="1:12" ht="27.65" customHeight="1">
      <c r="A63" s="8" t="s">
        <v>12</v>
      </c>
      <c r="B63" s="122" t="s">
        <v>186</v>
      </c>
      <c r="C63" s="123"/>
      <c r="D63" s="123"/>
      <c r="E63" s="123"/>
      <c r="F63" s="123"/>
      <c r="G63" s="123"/>
      <c r="H63" s="123"/>
      <c r="I63" s="124"/>
      <c r="J63" s="27">
        <v>17.32</v>
      </c>
      <c r="L63" s="50"/>
    </row>
    <row r="64" spans="1:12" ht="13">
      <c r="A64" s="125" t="s">
        <v>32</v>
      </c>
      <c r="B64" s="126"/>
      <c r="C64" s="126"/>
      <c r="D64" s="126"/>
      <c r="E64" s="126"/>
      <c r="F64" s="126"/>
      <c r="G64" s="126"/>
      <c r="H64" s="126"/>
      <c r="I64" s="127"/>
      <c r="J64" s="14">
        <f>SUM(J53:J63)</f>
        <v>580.37</v>
      </c>
      <c r="L64" s="50"/>
    </row>
    <row r="65" spans="1:12" ht="13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L65" s="50"/>
    </row>
    <row r="66" spans="1:12" ht="16.149999999999999" customHeight="1">
      <c r="A66" s="112" t="s">
        <v>71</v>
      </c>
      <c r="B66" s="112"/>
      <c r="C66" s="112"/>
      <c r="D66" s="112"/>
      <c r="E66" s="112"/>
      <c r="F66" s="112"/>
      <c r="G66" s="112"/>
      <c r="H66" s="112"/>
      <c r="I66" s="112"/>
      <c r="J66" s="112"/>
      <c r="L66" s="50"/>
    </row>
    <row r="67" spans="1:12" ht="16.149999999999999" customHeight="1">
      <c r="A67" s="64">
        <v>2</v>
      </c>
      <c r="B67" s="115" t="s">
        <v>72</v>
      </c>
      <c r="C67" s="115"/>
      <c r="D67" s="115"/>
      <c r="E67" s="115"/>
      <c r="F67" s="115"/>
      <c r="G67" s="115"/>
      <c r="H67" s="115"/>
      <c r="I67" s="115"/>
      <c r="J67" s="64" t="s">
        <v>37</v>
      </c>
      <c r="L67" s="50"/>
    </row>
    <row r="68" spans="1:12" ht="14.65" customHeight="1">
      <c r="A68" s="1" t="s">
        <v>35</v>
      </c>
      <c r="B68" s="1"/>
      <c r="C68" s="109" t="s">
        <v>73</v>
      </c>
      <c r="D68" s="109"/>
      <c r="E68" s="109"/>
      <c r="F68" s="109"/>
      <c r="G68" s="109"/>
      <c r="H68" s="109"/>
      <c r="I68" s="109"/>
      <c r="J68" s="28">
        <f>J37</f>
        <v>179.06</v>
      </c>
      <c r="L68" s="50"/>
    </row>
    <row r="69" spans="1:12" ht="14.65" customHeight="1">
      <c r="A69" s="1" t="s">
        <v>42</v>
      </c>
      <c r="B69" s="1"/>
      <c r="C69" s="109" t="s">
        <v>43</v>
      </c>
      <c r="D69" s="109"/>
      <c r="E69" s="109"/>
      <c r="F69" s="109"/>
      <c r="G69" s="109"/>
      <c r="H69" s="109"/>
      <c r="I69" s="109"/>
      <c r="J69" s="28">
        <f>J49</f>
        <v>611.07999999999993</v>
      </c>
      <c r="L69" s="50"/>
    </row>
    <row r="70" spans="1:12" ht="14.65" customHeight="1">
      <c r="A70" s="1" t="s">
        <v>60</v>
      </c>
      <c r="B70" s="1"/>
      <c r="C70" s="109" t="s">
        <v>61</v>
      </c>
      <c r="D70" s="109"/>
      <c r="E70" s="109"/>
      <c r="F70" s="109"/>
      <c r="G70" s="109"/>
      <c r="H70" s="109"/>
      <c r="I70" s="109"/>
      <c r="J70" s="28">
        <f>J64</f>
        <v>580.37</v>
      </c>
      <c r="L70" s="50"/>
    </row>
    <row r="71" spans="1:12" ht="14.65" customHeight="1">
      <c r="A71" s="116" t="s">
        <v>40</v>
      </c>
      <c r="B71" s="116"/>
      <c r="C71" s="116"/>
      <c r="D71" s="116"/>
      <c r="E71" s="116"/>
      <c r="F71" s="116"/>
      <c r="G71" s="116"/>
      <c r="H71" s="116"/>
      <c r="I71" s="116"/>
      <c r="J71" s="29">
        <f>SUM(J68+J69+J70)</f>
        <v>1370.5099999999998</v>
      </c>
    </row>
    <row r="72" spans="1:12" ht="13">
      <c r="A72" s="101"/>
      <c r="B72" s="101"/>
      <c r="C72" s="101"/>
      <c r="D72" s="101"/>
      <c r="E72" s="101"/>
      <c r="F72" s="101"/>
      <c r="G72" s="101"/>
      <c r="H72" s="101"/>
      <c r="I72" s="101"/>
      <c r="J72" s="101"/>
    </row>
    <row r="73" spans="1:12" ht="16.149999999999999" customHeight="1">
      <c r="A73" s="112" t="s">
        <v>74</v>
      </c>
      <c r="B73" s="112"/>
      <c r="C73" s="112"/>
      <c r="D73" s="112"/>
      <c r="E73" s="112"/>
      <c r="F73" s="112"/>
      <c r="G73" s="112"/>
      <c r="H73" s="112"/>
      <c r="I73" s="112"/>
      <c r="J73" s="112"/>
    </row>
    <row r="74" spans="1:12" ht="16.149999999999999" customHeight="1">
      <c r="A74" s="63">
        <v>3</v>
      </c>
      <c r="B74" s="115" t="s">
        <v>75</v>
      </c>
      <c r="C74" s="115"/>
      <c r="D74" s="115"/>
      <c r="E74" s="115"/>
      <c r="F74" s="115"/>
      <c r="G74" s="115"/>
      <c r="H74" s="115"/>
      <c r="I74" s="115"/>
      <c r="J74" s="63" t="s">
        <v>76</v>
      </c>
    </row>
    <row r="75" spans="1:12" ht="46.5" customHeight="1">
      <c r="A75" s="8" t="s">
        <v>5</v>
      </c>
      <c r="B75" s="109" t="s">
        <v>135</v>
      </c>
      <c r="C75" s="109"/>
      <c r="D75" s="109"/>
      <c r="E75" s="109"/>
      <c r="F75" s="109"/>
      <c r="G75" s="109"/>
      <c r="H75" s="109"/>
      <c r="I75" s="109"/>
      <c r="J75" s="16">
        <f>ROUND(((J30)+(J35)+(J30/12)+(J36))/12*0.01,2)</f>
        <v>1.57</v>
      </c>
      <c r="L75" s="50"/>
    </row>
    <row r="76" spans="1:12" ht="14.65" customHeight="1">
      <c r="A76" s="8" t="s">
        <v>7</v>
      </c>
      <c r="B76" s="109" t="s">
        <v>77</v>
      </c>
      <c r="C76" s="109"/>
      <c r="D76" s="109"/>
      <c r="E76" s="109"/>
      <c r="F76" s="109"/>
      <c r="G76" s="109"/>
      <c r="H76" s="109"/>
      <c r="I76" s="109"/>
      <c r="J76" s="16">
        <f>ROUND($J$75*I48,2)</f>
        <v>0.13</v>
      </c>
    </row>
    <row r="77" spans="1:12" ht="36.25" customHeight="1">
      <c r="A77" s="8" t="s">
        <v>9</v>
      </c>
      <c r="B77" s="109" t="s">
        <v>136</v>
      </c>
      <c r="C77" s="109"/>
      <c r="D77" s="109"/>
      <c r="E77" s="109"/>
      <c r="F77" s="109"/>
      <c r="G77" s="109"/>
      <c r="H77" s="109"/>
      <c r="I77" s="30">
        <v>2.3999999999999998E-3</v>
      </c>
      <c r="J77" s="16">
        <f>ROUND($J$30*I77,2)</f>
        <v>3.78</v>
      </c>
    </row>
    <row r="78" spans="1:12" ht="34.5" customHeight="1">
      <c r="A78" s="8" t="s">
        <v>12</v>
      </c>
      <c r="B78" s="109" t="s">
        <v>138</v>
      </c>
      <c r="C78" s="109"/>
      <c r="D78" s="109"/>
      <c r="E78" s="109"/>
      <c r="F78" s="109"/>
      <c r="G78" s="109"/>
      <c r="H78" s="109"/>
      <c r="I78" s="109"/>
      <c r="J78" s="16">
        <f>J30/30*7/12*0.05</f>
        <v>1.5331049999999999</v>
      </c>
    </row>
    <row r="79" spans="1:12" ht="14.65" customHeight="1">
      <c r="A79" s="8" t="s">
        <v>29</v>
      </c>
      <c r="B79" s="109" t="s">
        <v>78</v>
      </c>
      <c r="C79" s="109"/>
      <c r="D79" s="109"/>
      <c r="E79" s="109"/>
      <c r="F79" s="109"/>
      <c r="G79" s="109"/>
      <c r="H79" s="109"/>
      <c r="I79" s="109"/>
      <c r="J79" s="16">
        <f>ROUND($I$49*J78,2)</f>
        <v>0.53</v>
      </c>
    </row>
    <row r="80" spans="1:12" ht="36.25" customHeight="1">
      <c r="A80" s="8" t="s">
        <v>53</v>
      </c>
      <c r="B80" s="109" t="s">
        <v>137</v>
      </c>
      <c r="C80" s="109"/>
      <c r="D80" s="109"/>
      <c r="E80" s="109"/>
      <c r="F80" s="109"/>
      <c r="G80" s="109"/>
      <c r="H80" s="109"/>
      <c r="I80" s="30">
        <v>3.7600000000000001E-2</v>
      </c>
      <c r="J80" s="16">
        <f>ROUND($J$30*I80,2)</f>
        <v>59.29</v>
      </c>
    </row>
    <row r="81" spans="1:10" ht="13">
      <c r="A81" s="105" t="s">
        <v>40</v>
      </c>
      <c r="B81" s="105"/>
      <c r="C81" s="105"/>
      <c r="D81" s="105"/>
      <c r="E81" s="105"/>
      <c r="F81" s="105"/>
      <c r="G81" s="105"/>
      <c r="H81" s="105"/>
      <c r="I81" s="105"/>
      <c r="J81" s="14">
        <f>SUM(J75:J80)</f>
        <v>66.833105000000003</v>
      </c>
    </row>
    <row r="82" spans="1:10" ht="13">
      <c r="A82" s="101"/>
      <c r="B82" s="101"/>
      <c r="C82" s="101"/>
      <c r="D82" s="101"/>
      <c r="E82" s="101"/>
      <c r="F82" s="101"/>
      <c r="G82" s="101"/>
      <c r="H82" s="101"/>
      <c r="I82" s="101"/>
      <c r="J82" s="101"/>
    </row>
    <row r="83" spans="1:10" ht="16.149999999999999" customHeight="1">
      <c r="A83" s="112" t="s">
        <v>79</v>
      </c>
      <c r="B83" s="112"/>
      <c r="C83" s="112"/>
      <c r="D83" s="112"/>
      <c r="E83" s="112"/>
      <c r="F83" s="112"/>
      <c r="G83" s="112"/>
      <c r="H83" s="112"/>
      <c r="I83" s="112"/>
      <c r="J83" s="112"/>
    </row>
    <row r="84" spans="1:10" ht="15" customHeight="1">
      <c r="A84" s="119" t="s">
        <v>80</v>
      </c>
      <c r="B84" s="119"/>
      <c r="C84" s="119"/>
      <c r="D84" s="119"/>
      <c r="E84" s="119"/>
      <c r="F84" s="119"/>
      <c r="G84" s="119"/>
      <c r="H84" s="119"/>
      <c r="I84" s="119"/>
      <c r="J84" s="31">
        <f>J87+J30+J35+J36</f>
        <v>1899.068</v>
      </c>
    </row>
    <row r="85" spans="1:10" ht="14.65" customHeight="1">
      <c r="A85" s="120"/>
      <c r="B85" s="120"/>
      <c r="C85" s="120"/>
      <c r="D85" s="120"/>
      <c r="E85" s="120"/>
      <c r="F85" s="120"/>
      <c r="G85" s="120"/>
      <c r="H85" s="120"/>
      <c r="I85" s="120"/>
      <c r="J85" s="120"/>
    </row>
    <row r="86" spans="1:10" ht="14">
      <c r="A86" s="32" t="s">
        <v>81</v>
      </c>
      <c r="B86" s="113" t="s">
        <v>82</v>
      </c>
      <c r="C86" s="113"/>
      <c r="D86" s="113"/>
      <c r="E86" s="113"/>
      <c r="F86" s="113"/>
      <c r="G86" s="113"/>
      <c r="H86" s="113"/>
      <c r="I86" s="113"/>
      <c r="J86" s="32" t="s">
        <v>37</v>
      </c>
    </row>
    <row r="87" spans="1:10" ht="12.75" customHeight="1">
      <c r="A87" s="12" t="s">
        <v>5</v>
      </c>
      <c r="B87" s="109" t="s">
        <v>83</v>
      </c>
      <c r="C87" s="109"/>
      <c r="D87" s="109"/>
      <c r="E87" s="109"/>
      <c r="F87" s="109"/>
      <c r="G87" s="109"/>
      <c r="H87" s="109"/>
      <c r="I87" s="33">
        <f>12.1%-I36</f>
        <v>9.0749999999999997E-2</v>
      </c>
      <c r="J87" s="16">
        <f>ROUND(($J$30*I87),2)</f>
        <v>143.1</v>
      </c>
    </row>
    <row r="88" spans="1:10" ht="13">
      <c r="A88" s="12" t="s">
        <v>7</v>
      </c>
      <c r="B88" s="104" t="s">
        <v>131</v>
      </c>
      <c r="C88" s="104"/>
      <c r="D88" s="104"/>
      <c r="E88" s="104"/>
      <c r="F88" s="104"/>
      <c r="G88" s="104"/>
      <c r="H88" s="104"/>
      <c r="I88" s="104"/>
      <c r="J88" s="34">
        <f>J84/30*0.1/12</f>
        <v>0.52751888888888898</v>
      </c>
    </row>
    <row r="89" spans="1:10" ht="13">
      <c r="A89" s="12" t="s">
        <v>9</v>
      </c>
      <c r="B89" s="104" t="s">
        <v>84</v>
      </c>
      <c r="C89" s="104"/>
      <c r="D89" s="104"/>
      <c r="E89" s="104"/>
      <c r="F89" s="104"/>
      <c r="G89" s="104"/>
      <c r="H89" s="104"/>
      <c r="I89" s="104"/>
      <c r="J89" s="34">
        <f>J84/30*5/12*1.5%</f>
        <v>0.39563916666666665</v>
      </c>
    </row>
    <row r="90" spans="1:10" ht="13">
      <c r="A90" s="12" t="s">
        <v>12</v>
      </c>
      <c r="B90" s="104" t="s">
        <v>85</v>
      </c>
      <c r="C90" s="104"/>
      <c r="D90" s="104"/>
      <c r="E90" s="104"/>
      <c r="F90" s="104"/>
      <c r="G90" s="104"/>
      <c r="H90" s="104"/>
      <c r="I90" s="104"/>
      <c r="J90" s="13">
        <f>J84/30*15/12*0.78%</f>
        <v>0.61719709999999994</v>
      </c>
    </row>
    <row r="91" spans="1:10" ht="13">
      <c r="A91" s="12" t="s">
        <v>29</v>
      </c>
      <c r="B91" s="104" t="s">
        <v>86</v>
      </c>
      <c r="C91" s="104"/>
      <c r="D91" s="104"/>
      <c r="E91" s="104"/>
      <c r="F91" s="104"/>
      <c r="G91" s="104"/>
      <c r="H91" s="104"/>
      <c r="I91" s="104"/>
      <c r="J91" s="16">
        <f>(J30+J36)/12*4/12*1%</f>
        <v>0.45127999999999996</v>
      </c>
    </row>
    <row r="92" spans="1:10" ht="13">
      <c r="A92" s="35" t="s">
        <v>53</v>
      </c>
      <c r="B92" s="118" t="s">
        <v>87</v>
      </c>
      <c r="C92" s="118"/>
      <c r="D92" s="118"/>
      <c r="E92" s="118"/>
      <c r="F92" s="118"/>
      <c r="G92" s="118"/>
      <c r="H92" s="118"/>
      <c r="I92" s="118"/>
      <c r="J92" s="13">
        <f>J84/30*0.15/12</f>
        <v>0.79127833333333342</v>
      </c>
    </row>
    <row r="93" spans="1:10" ht="13">
      <c r="A93" s="105" t="s">
        <v>40</v>
      </c>
      <c r="B93" s="105"/>
      <c r="C93" s="105"/>
      <c r="D93" s="105"/>
      <c r="E93" s="105"/>
      <c r="F93" s="105"/>
      <c r="G93" s="105"/>
      <c r="H93" s="105"/>
      <c r="I93" s="105"/>
      <c r="J93" s="36">
        <f>SUM(J87:J92)</f>
        <v>145.88291348888887</v>
      </c>
    </row>
    <row r="94" spans="1:10" ht="14.65" customHeight="1">
      <c r="A94" s="12"/>
      <c r="B94" s="104"/>
      <c r="C94" s="104"/>
      <c r="D94" s="104"/>
      <c r="E94" s="104"/>
      <c r="F94" s="104"/>
      <c r="G94" s="104"/>
      <c r="H94" s="104"/>
      <c r="I94" s="104"/>
      <c r="J94" s="13"/>
    </row>
    <row r="95" spans="1:10" ht="13">
      <c r="A95" s="105" t="s">
        <v>40</v>
      </c>
      <c r="B95" s="105"/>
      <c r="C95" s="105"/>
      <c r="D95" s="105"/>
      <c r="E95" s="105"/>
      <c r="F95" s="105"/>
      <c r="G95" s="105"/>
      <c r="H95" s="105"/>
      <c r="I95" s="105"/>
      <c r="J95" s="14">
        <f>SUM(J93:J94)</f>
        <v>145.88291348888887</v>
      </c>
    </row>
    <row r="96" spans="1:10" ht="16.149999999999999" customHeight="1">
      <c r="A96" s="112" t="s">
        <v>88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14">
      <c r="A97" s="63" t="s">
        <v>89</v>
      </c>
      <c r="B97" s="113" t="s">
        <v>90</v>
      </c>
      <c r="C97" s="113"/>
      <c r="D97" s="113"/>
      <c r="E97" s="113"/>
      <c r="F97" s="113"/>
      <c r="G97" s="113"/>
      <c r="H97" s="113"/>
      <c r="I97" s="113"/>
      <c r="J97" s="37" t="s">
        <v>37</v>
      </c>
    </row>
    <row r="98" spans="1:10" ht="13">
      <c r="A98" s="8" t="s">
        <v>5</v>
      </c>
      <c r="B98" s="104" t="s">
        <v>91</v>
      </c>
      <c r="C98" s="104"/>
      <c r="D98" s="104"/>
      <c r="E98" s="104"/>
      <c r="F98" s="104"/>
      <c r="G98" s="104"/>
      <c r="H98" s="104"/>
      <c r="I98" s="104"/>
      <c r="J98" s="16">
        <v>0</v>
      </c>
    </row>
    <row r="99" spans="1:10" ht="13">
      <c r="A99" s="117" t="s">
        <v>40</v>
      </c>
      <c r="B99" s="117"/>
      <c r="C99" s="117"/>
      <c r="D99" s="117"/>
      <c r="E99" s="117"/>
      <c r="F99" s="117"/>
      <c r="G99" s="117"/>
      <c r="H99" s="117"/>
      <c r="I99" s="117"/>
      <c r="J99" s="16">
        <v>0</v>
      </c>
    </row>
    <row r="100" spans="1:10" ht="13">
      <c r="A100" s="12"/>
      <c r="B100" s="104"/>
      <c r="C100" s="104"/>
      <c r="D100" s="104"/>
      <c r="E100" s="104"/>
      <c r="F100" s="104"/>
      <c r="G100" s="104"/>
      <c r="H100" s="104"/>
      <c r="I100" s="104"/>
      <c r="J100" s="13"/>
    </row>
    <row r="101" spans="1:10" ht="13">
      <c r="A101" s="105" t="s">
        <v>40</v>
      </c>
      <c r="B101" s="105"/>
      <c r="C101" s="105"/>
      <c r="D101" s="105"/>
      <c r="E101" s="105"/>
      <c r="F101" s="105"/>
      <c r="G101" s="105"/>
      <c r="H101" s="105"/>
      <c r="I101" s="105"/>
      <c r="J101" s="14">
        <f>SUM(J99:J100)</f>
        <v>0</v>
      </c>
    </row>
    <row r="102" spans="1:10" ht="13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</row>
    <row r="103" spans="1:10" ht="16.149999999999999" customHeight="1">
      <c r="A103" s="112" t="s">
        <v>92</v>
      </c>
      <c r="B103" s="112"/>
      <c r="C103" s="112"/>
      <c r="D103" s="112"/>
      <c r="E103" s="112"/>
      <c r="F103" s="112"/>
      <c r="G103" s="112"/>
      <c r="H103" s="112"/>
      <c r="I103" s="112"/>
      <c r="J103" s="112"/>
    </row>
    <row r="104" spans="1:10" ht="16.149999999999999" customHeight="1">
      <c r="A104" s="64">
        <v>4</v>
      </c>
      <c r="B104" s="115" t="s">
        <v>93</v>
      </c>
      <c r="C104" s="115"/>
      <c r="D104" s="115"/>
      <c r="E104" s="115"/>
      <c r="F104" s="115"/>
      <c r="G104" s="115"/>
      <c r="H104" s="115"/>
      <c r="I104" s="115"/>
      <c r="J104" s="37" t="s">
        <v>37</v>
      </c>
    </row>
    <row r="105" spans="1:10" ht="14.65" customHeight="1">
      <c r="A105" s="1" t="s">
        <v>81</v>
      </c>
      <c r="B105" s="109" t="s">
        <v>94</v>
      </c>
      <c r="C105" s="109"/>
      <c r="D105" s="109"/>
      <c r="E105" s="109"/>
      <c r="F105" s="109"/>
      <c r="G105" s="109"/>
      <c r="H105" s="109"/>
      <c r="I105" s="109"/>
      <c r="J105" s="16">
        <f>J95</f>
        <v>145.88291348888887</v>
      </c>
    </row>
    <row r="106" spans="1:10" ht="14.65" customHeight="1">
      <c r="A106" s="1" t="s">
        <v>95</v>
      </c>
      <c r="B106" s="109" t="s">
        <v>96</v>
      </c>
      <c r="C106" s="109"/>
      <c r="D106" s="109"/>
      <c r="E106" s="109"/>
      <c r="F106" s="109"/>
      <c r="G106" s="109"/>
      <c r="H106" s="109"/>
      <c r="I106" s="109"/>
      <c r="J106" s="16">
        <f>J101</f>
        <v>0</v>
      </c>
    </row>
    <row r="107" spans="1:10" ht="14.65" customHeight="1">
      <c r="A107" s="116" t="s">
        <v>40</v>
      </c>
      <c r="B107" s="116"/>
      <c r="C107" s="116"/>
      <c r="D107" s="116"/>
      <c r="E107" s="116"/>
      <c r="F107" s="116"/>
      <c r="G107" s="116"/>
      <c r="H107" s="116"/>
      <c r="I107" s="116"/>
      <c r="J107" s="14">
        <f>SUM(J105+J106)</f>
        <v>145.88291348888887</v>
      </c>
    </row>
    <row r="108" spans="1:10" ht="13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</row>
    <row r="109" spans="1:10" ht="16.149999999999999" customHeight="1">
      <c r="A109" s="112" t="s">
        <v>97</v>
      </c>
      <c r="B109" s="112"/>
      <c r="C109" s="112"/>
      <c r="D109" s="112"/>
      <c r="E109" s="112"/>
      <c r="F109" s="112"/>
      <c r="G109" s="112"/>
      <c r="H109" s="112"/>
      <c r="I109" s="112"/>
      <c r="J109" s="112"/>
    </row>
    <row r="110" spans="1:10" ht="16.149999999999999" customHeight="1">
      <c r="A110" s="63">
        <v>5</v>
      </c>
      <c r="B110" s="113" t="s">
        <v>98</v>
      </c>
      <c r="C110" s="113"/>
      <c r="D110" s="113"/>
      <c r="E110" s="113"/>
      <c r="F110" s="113"/>
      <c r="G110" s="113"/>
      <c r="H110" s="113"/>
      <c r="I110" s="113"/>
      <c r="J110" s="63" t="s">
        <v>37</v>
      </c>
    </row>
    <row r="111" spans="1:10" ht="13">
      <c r="A111" s="8" t="s">
        <v>5</v>
      </c>
      <c r="B111" s="104" t="s">
        <v>185</v>
      </c>
      <c r="C111" s="104"/>
      <c r="D111" s="104"/>
      <c r="E111" s="104"/>
      <c r="F111" s="104"/>
      <c r="G111" s="104"/>
      <c r="H111" s="104"/>
      <c r="I111" s="104"/>
      <c r="J111" s="16">
        <f>Descritivo!E48</f>
        <v>91.369065656565652</v>
      </c>
    </row>
    <row r="112" spans="1:10" ht="13">
      <c r="A112" s="8" t="s">
        <v>7</v>
      </c>
      <c r="B112" s="104" t="s">
        <v>99</v>
      </c>
      <c r="C112" s="104"/>
      <c r="D112" s="104"/>
      <c r="E112" s="104"/>
      <c r="F112" s="104"/>
      <c r="G112" s="104"/>
      <c r="H112" s="104"/>
      <c r="I112" s="104"/>
      <c r="J112" s="27">
        <f>Descritivo!D93</f>
        <v>116.16919191919192</v>
      </c>
    </row>
    <row r="113" spans="1:10" ht="13">
      <c r="A113" s="8" t="s">
        <v>9</v>
      </c>
      <c r="B113" s="104" t="s">
        <v>139</v>
      </c>
      <c r="C113" s="104"/>
      <c r="D113" s="104"/>
      <c r="E113" s="104"/>
      <c r="F113" s="104"/>
      <c r="G113" s="104"/>
      <c r="H113" s="104"/>
      <c r="I113" s="104"/>
      <c r="J113" s="27">
        <f>Descritivo!C101</f>
        <v>36.363636363636367</v>
      </c>
    </row>
    <row r="114" spans="1:10" ht="13">
      <c r="A114" s="8" t="s">
        <v>12</v>
      </c>
      <c r="B114" s="104" t="s">
        <v>100</v>
      </c>
      <c r="C114" s="104"/>
      <c r="D114" s="104"/>
      <c r="E114" s="104"/>
      <c r="F114" s="104"/>
      <c r="G114" s="104"/>
      <c r="H114" s="104"/>
      <c r="I114" s="104"/>
      <c r="J114" s="27"/>
    </row>
    <row r="115" spans="1:10" ht="13">
      <c r="A115" s="105" t="s">
        <v>32</v>
      </c>
      <c r="B115" s="105"/>
      <c r="C115" s="105"/>
      <c r="D115" s="105"/>
      <c r="E115" s="105"/>
      <c r="F115" s="105"/>
      <c r="G115" s="105"/>
      <c r="H115" s="105"/>
      <c r="I115" s="105"/>
      <c r="J115" s="38">
        <f>SUM(J111:J114)</f>
        <v>243.90189393939394</v>
      </c>
    </row>
    <row r="116" spans="1:10" ht="13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</row>
    <row r="117" spans="1:10" ht="16.149999999999999" customHeight="1">
      <c r="A117" s="112" t="s">
        <v>101</v>
      </c>
      <c r="B117" s="112"/>
      <c r="C117" s="112"/>
      <c r="D117" s="112"/>
      <c r="E117" s="112"/>
      <c r="F117" s="112"/>
      <c r="G117" s="112"/>
      <c r="H117" s="112"/>
      <c r="I117" s="112"/>
      <c r="J117" s="112"/>
    </row>
    <row r="118" spans="1:10" ht="28">
      <c r="A118" s="63">
        <v>6</v>
      </c>
      <c r="B118" s="113" t="s">
        <v>102</v>
      </c>
      <c r="C118" s="113"/>
      <c r="D118" s="113"/>
      <c r="E118" s="113"/>
      <c r="F118" s="113"/>
      <c r="G118" s="113"/>
      <c r="H118" s="113"/>
      <c r="I118" s="64" t="s">
        <v>44</v>
      </c>
      <c r="J118" s="39" t="s">
        <v>103</v>
      </c>
    </row>
    <row r="119" spans="1:10" ht="12.75" customHeight="1">
      <c r="A119" s="111" t="s">
        <v>104</v>
      </c>
      <c r="B119" s="111"/>
      <c r="C119" s="111"/>
      <c r="D119" s="111"/>
      <c r="E119" s="111"/>
      <c r="F119" s="111"/>
      <c r="G119" s="111"/>
      <c r="H119" s="111"/>
      <c r="I119" s="40" t="s">
        <v>64</v>
      </c>
      <c r="J119" s="41">
        <f>SUM(J30+J71+J81+J107+J115)</f>
        <v>3404.0359124282827</v>
      </c>
    </row>
    <row r="120" spans="1:10" ht="15.5">
      <c r="A120" s="42" t="s">
        <v>5</v>
      </c>
      <c r="B120" s="110" t="s">
        <v>105</v>
      </c>
      <c r="C120" s="110"/>
      <c r="D120" s="110"/>
      <c r="E120" s="110"/>
      <c r="F120" s="110"/>
      <c r="G120" s="110"/>
      <c r="H120" s="110"/>
      <c r="I120" s="15">
        <v>0.1091</v>
      </c>
      <c r="J120" s="16">
        <f>ROUND(I120*J119,2)</f>
        <v>371.38</v>
      </c>
    </row>
    <row r="121" spans="1:10" ht="12.75" customHeight="1">
      <c r="A121" s="111" t="s">
        <v>106</v>
      </c>
      <c r="B121" s="111"/>
      <c r="C121" s="111"/>
      <c r="D121" s="111"/>
      <c r="E121" s="111"/>
      <c r="F121" s="111"/>
      <c r="G121" s="111"/>
      <c r="H121" s="111"/>
      <c r="I121" s="43" t="s">
        <v>64</v>
      </c>
      <c r="J121" s="41">
        <f>SUM(J30+J71+J81+J107+J115+J120)</f>
        <v>3775.4159124282828</v>
      </c>
    </row>
    <row r="122" spans="1:10" ht="15.5">
      <c r="A122" s="42" t="s">
        <v>7</v>
      </c>
      <c r="B122" s="110" t="s">
        <v>107</v>
      </c>
      <c r="C122" s="110"/>
      <c r="D122" s="110"/>
      <c r="E122" s="110"/>
      <c r="F122" s="110"/>
      <c r="G122" s="110"/>
      <c r="H122" s="110"/>
      <c r="I122" s="20">
        <v>0.15109700000000001</v>
      </c>
      <c r="J122" s="16">
        <f>ROUND(I122*J121,2)</f>
        <v>570.45000000000005</v>
      </c>
    </row>
    <row r="123" spans="1:10" ht="12.75" customHeight="1">
      <c r="A123" s="111" t="s">
        <v>108</v>
      </c>
      <c r="B123" s="111"/>
      <c r="C123" s="111"/>
      <c r="D123" s="111"/>
      <c r="E123" s="111"/>
      <c r="F123" s="111"/>
      <c r="G123" s="111"/>
      <c r="H123" s="111"/>
      <c r="I123" s="43" t="s">
        <v>64</v>
      </c>
      <c r="J123" s="41">
        <f>SUM(J30+J71+J81+J107+J115+J120+J122)</f>
        <v>4345.8659124282831</v>
      </c>
    </row>
    <row r="124" spans="1:10" ht="15.5">
      <c r="A124" s="42" t="s">
        <v>9</v>
      </c>
      <c r="B124" s="110" t="s">
        <v>109</v>
      </c>
      <c r="C124" s="110"/>
      <c r="D124" s="110"/>
      <c r="E124" s="110"/>
      <c r="F124" s="110"/>
      <c r="G124" s="110"/>
      <c r="H124" s="110"/>
      <c r="I124" s="9" t="s">
        <v>64</v>
      </c>
      <c r="J124" s="51" t="s">
        <v>64</v>
      </c>
    </row>
    <row r="125" spans="1:10" ht="13">
      <c r="A125" s="8"/>
      <c r="B125" s="104" t="s">
        <v>110</v>
      </c>
      <c r="C125" s="104"/>
      <c r="D125" s="104"/>
      <c r="E125" s="104"/>
      <c r="F125" s="104"/>
      <c r="G125" s="104"/>
      <c r="H125" s="104"/>
      <c r="I125" s="9" t="s">
        <v>64</v>
      </c>
      <c r="J125" s="51" t="s">
        <v>64</v>
      </c>
    </row>
    <row r="126" spans="1:10" ht="13">
      <c r="A126" s="8"/>
      <c r="B126" s="104" t="s">
        <v>111</v>
      </c>
      <c r="C126" s="104"/>
      <c r="D126" s="104"/>
      <c r="E126" s="104"/>
      <c r="F126" s="104"/>
      <c r="G126" s="104"/>
      <c r="H126" s="104"/>
      <c r="I126" s="44">
        <v>0.03</v>
      </c>
      <c r="J126" s="16">
        <f>ROUND(($J$123/(1-$I$135))*I126,2)</f>
        <v>142.72</v>
      </c>
    </row>
    <row r="127" spans="1:10" ht="13">
      <c r="A127" s="8"/>
      <c r="B127" s="104" t="s">
        <v>112</v>
      </c>
      <c r="C127" s="104"/>
      <c r="D127" s="104"/>
      <c r="E127" s="104"/>
      <c r="F127" s="104"/>
      <c r="G127" s="104"/>
      <c r="H127" s="104"/>
      <c r="I127" s="44">
        <v>6.4999999999999997E-3</v>
      </c>
      <c r="J127" s="16">
        <f>ROUND(($J$123/(1-$I$135))*I127,2)</f>
        <v>30.92</v>
      </c>
    </row>
    <row r="128" spans="1:10" ht="27.65" customHeight="1">
      <c r="A128" s="8"/>
      <c r="B128" s="109" t="s">
        <v>113</v>
      </c>
      <c r="C128" s="109"/>
      <c r="D128" s="109"/>
      <c r="E128" s="109"/>
      <c r="F128" s="109"/>
      <c r="G128" s="109"/>
      <c r="H128" s="109"/>
      <c r="I128" s="45" t="s">
        <v>64</v>
      </c>
      <c r="J128" s="51" t="s">
        <v>64</v>
      </c>
    </row>
    <row r="129" spans="1:10" ht="27.65" customHeight="1">
      <c r="A129" s="8"/>
      <c r="B129" s="109" t="s">
        <v>114</v>
      </c>
      <c r="C129" s="109"/>
      <c r="D129" s="109"/>
      <c r="E129" s="109"/>
      <c r="F129" s="109"/>
      <c r="G129" s="109"/>
      <c r="H129" s="109"/>
      <c r="I129" s="45" t="s">
        <v>64</v>
      </c>
      <c r="J129" s="51" t="s">
        <v>64</v>
      </c>
    </row>
    <row r="130" spans="1:10" ht="13">
      <c r="A130" s="8"/>
      <c r="B130" s="104" t="s">
        <v>115</v>
      </c>
      <c r="C130" s="104"/>
      <c r="D130" s="104"/>
      <c r="E130" s="104"/>
      <c r="F130" s="104"/>
      <c r="G130" s="104"/>
      <c r="H130" s="104"/>
      <c r="I130" s="45" t="s">
        <v>64</v>
      </c>
      <c r="J130" s="51" t="s">
        <v>64</v>
      </c>
    </row>
    <row r="131" spans="1:10" ht="13">
      <c r="A131" s="8"/>
      <c r="B131" s="104" t="s">
        <v>116</v>
      </c>
      <c r="C131" s="104"/>
      <c r="D131" s="104"/>
      <c r="E131" s="104"/>
      <c r="F131" s="104"/>
      <c r="G131" s="104"/>
      <c r="H131" s="104"/>
      <c r="I131" s="45" t="s">
        <v>64</v>
      </c>
      <c r="J131" s="51" t="s">
        <v>64</v>
      </c>
    </row>
    <row r="132" spans="1:10" ht="13">
      <c r="A132" s="8"/>
      <c r="B132" s="104" t="s">
        <v>134</v>
      </c>
      <c r="C132" s="104"/>
      <c r="D132" s="104"/>
      <c r="E132" s="104"/>
      <c r="F132" s="104"/>
      <c r="G132" s="104"/>
      <c r="H132" s="104"/>
      <c r="I132" s="44">
        <v>0.05</v>
      </c>
      <c r="J132" s="16">
        <f>ROUND(($J$123/(1-$I$135))*I132,2)</f>
        <v>237.87</v>
      </c>
    </row>
    <row r="133" spans="1:10" ht="13">
      <c r="A133" s="105" t="s">
        <v>40</v>
      </c>
      <c r="B133" s="105"/>
      <c r="C133" s="105"/>
      <c r="D133" s="105"/>
      <c r="E133" s="105"/>
      <c r="F133" s="105"/>
      <c r="G133" s="105"/>
      <c r="H133" s="105"/>
      <c r="I133" s="105"/>
      <c r="J133" s="14">
        <f>SUM(J120+J122+J126+J127+J132)</f>
        <v>1353.3400000000001</v>
      </c>
    </row>
    <row r="134" spans="1:10" ht="13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</row>
    <row r="135" spans="1:10" ht="14.65" customHeight="1">
      <c r="A135" s="106" t="s">
        <v>117</v>
      </c>
      <c r="B135" s="106"/>
      <c r="C135" s="106"/>
      <c r="D135" s="106"/>
      <c r="E135" s="106"/>
      <c r="F135" s="106"/>
      <c r="G135" s="106"/>
      <c r="H135" s="106"/>
      <c r="I135" s="46">
        <f>SUM(I126:I132)</f>
        <v>8.6499999999999994E-2</v>
      </c>
      <c r="J135" s="41">
        <f>SUM(J126:J132)</f>
        <v>411.51</v>
      </c>
    </row>
    <row r="136" spans="1:10">
      <c r="A136" s="107" t="s">
        <v>118</v>
      </c>
      <c r="B136" s="107"/>
      <c r="C136" s="107"/>
      <c r="D136" s="108" t="s">
        <v>119</v>
      </c>
      <c r="E136" s="108"/>
      <c r="F136" s="108"/>
      <c r="G136" s="108"/>
      <c r="H136" s="108"/>
      <c r="I136" s="108"/>
      <c r="J136" s="108"/>
    </row>
    <row r="137" spans="1:10">
      <c r="A137" s="107"/>
      <c r="B137" s="107"/>
      <c r="C137" s="107"/>
      <c r="D137" s="108" t="s">
        <v>120</v>
      </c>
      <c r="E137" s="108"/>
      <c r="F137" s="108"/>
      <c r="G137" s="108"/>
      <c r="H137" s="108"/>
      <c r="I137" s="108"/>
      <c r="J137" s="108"/>
    </row>
    <row r="138" spans="1:10">
      <c r="A138" s="107"/>
      <c r="B138" s="107"/>
      <c r="C138" s="107"/>
      <c r="D138" s="108" t="s">
        <v>121</v>
      </c>
      <c r="E138" s="108"/>
      <c r="F138" s="108"/>
      <c r="G138" s="108"/>
      <c r="H138" s="108"/>
      <c r="I138" s="108"/>
      <c r="J138" s="108"/>
    </row>
    <row r="139" spans="1:10" ht="13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</row>
    <row r="140" spans="1:10" ht="46" customHeight="1">
      <c r="A140" s="102" t="s">
        <v>122</v>
      </c>
      <c r="B140" s="102"/>
      <c r="C140" s="102"/>
      <c r="D140" s="102"/>
      <c r="E140" s="102"/>
      <c r="F140" s="102"/>
      <c r="G140" s="102"/>
      <c r="H140" s="102"/>
      <c r="I140" s="102"/>
      <c r="J140" s="102"/>
    </row>
    <row r="141" spans="1:10" ht="14.65" customHeight="1">
      <c r="A141" s="103" t="s">
        <v>123</v>
      </c>
      <c r="B141" s="103"/>
      <c r="C141" s="103"/>
      <c r="D141" s="103"/>
      <c r="E141" s="103"/>
      <c r="F141" s="103"/>
      <c r="G141" s="103"/>
      <c r="H141" s="103"/>
      <c r="I141" s="103"/>
      <c r="J141" s="47" t="s">
        <v>37</v>
      </c>
    </row>
    <row r="142" spans="1:10" ht="14.65" customHeight="1">
      <c r="A142" s="48" t="s">
        <v>5</v>
      </c>
      <c r="B142" s="99" t="s">
        <v>124</v>
      </c>
      <c r="C142" s="99"/>
      <c r="D142" s="99"/>
      <c r="E142" s="99"/>
      <c r="F142" s="99"/>
      <c r="G142" s="99"/>
      <c r="H142" s="99"/>
      <c r="I142" s="99"/>
      <c r="J142" s="27">
        <f>J30</f>
        <v>1576.9079999999999</v>
      </c>
    </row>
    <row r="143" spans="1:10" ht="14.65" customHeight="1">
      <c r="A143" s="48" t="s">
        <v>7</v>
      </c>
      <c r="B143" s="99" t="s">
        <v>33</v>
      </c>
      <c r="C143" s="99"/>
      <c r="D143" s="99"/>
      <c r="E143" s="99"/>
      <c r="F143" s="99"/>
      <c r="G143" s="99"/>
      <c r="H143" s="99"/>
      <c r="I143" s="99"/>
      <c r="J143" s="27">
        <f>J71</f>
        <v>1370.5099999999998</v>
      </c>
    </row>
    <row r="144" spans="1:10" ht="14.65" customHeight="1">
      <c r="A144" s="48" t="s">
        <v>9</v>
      </c>
      <c r="B144" s="99" t="s">
        <v>125</v>
      </c>
      <c r="C144" s="99"/>
      <c r="D144" s="99"/>
      <c r="E144" s="99"/>
      <c r="F144" s="99"/>
      <c r="G144" s="99"/>
      <c r="H144" s="99"/>
      <c r="I144" s="99"/>
      <c r="J144" s="27">
        <f>J81</f>
        <v>66.833105000000003</v>
      </c>
    </row>
    <row r="145" spans="1:12" ht="14.65" customHeight="1">
      <c r="A145" s="48" t="s">
        <v>12</v>
      </c>
      <c r="B145" s="99" t="s">
        <v>126</v>
      </c>
      <c r="C145" s="99"/>
      <c r="D145" s="99"/>
      <c r="E145" s="99"/>
      <c r="F145" s="99"/>
      <c r="G145" s="99"/>
      <c r="H145" s="99"/>
      <c r="I145" s="99"/>
      <c r="J145" s="27">
        <f>J107</f>
        <v>145.88291348888887</v>
      </c>
    </row>
    <row r="146" spans="1:12" ht="14.65" customHeight="1">
      <c r="A146" s="48" t="s">
        <v>29</v>
      </c>
      <c r="B146" s="99" t="s">
        <v>127</v>
      </c>
      <c r="C146" s="99"/>
      <c r="D146" s="99"/>
      <c r="E146" s="99"/>
      <c r="F146" s="99"/>
      <c r="G146" s="99"/>
      <c r="H146" s="99"/>
      <c r="I146" s="99"/>
      <c r="J146" s="27">
        <f>J115</f>
        <v>243.90189393939394</v>
      </c>
    </row>
    <row r="147" spans="1:12" ht="14.65" customHeight="1">
      <c r="A147" s="100" t="s">
        <v>128</v>
      </c>
      <c r="B147" s="100"/>
      <c r="C147" s="100"/>
      <c r="D147" s="100"/>
      <c r="E147" s="100"/>
      <c r="F147" s="100"/>
      <c r="G147" s="100"/>
      <c r="H147" s="100"/>
      <c r="I147" s="100"/>
      <c r="J147" s="38">
        <f>SUM(J142:J146)</f>
        <v>3404.0359124282827</v>
      </c>
    </row>
    <row r="148" spans="1:12" ht="14.65" customHeight="1">
      <c r="A148" s="48" t="s">
        <v>53</v>
      </c>
      <c r="B148" s="99" t="s">
        <v>129</v>
      </c>
      <c r="C148" s="99"/>
      <c r="D148" s="99"/>
      <c r="E148" s="99"/>
      <c r="F148" s="99"/>
      <c r="G148" s="99"/>
      <c r="H148" s="99"/>
      <c r="I148" s="99"/>
      <c r="J148" s="27">
        <f>J133</f>
        <v>1353.3400000000001</v>
      </c>
    </row>
    <row r="149" spans="1:12" ht="14.65" customHeight="1">
      <c r="A149" s="100" t="s">
        <v>130</v>
      </c>
      <c r="B149" s="100"/>
      <c r="C149" s="100"/>
      <c r="D149" s="100"/>
      <c r="E149" s="100"/>
      <c r="F149" s="100"/>
      <c r="G149" s="100"/>
      <c r="H149" s="100"/>
      <c r="I149" s="100"/>
      <c r="J149" s="38">
        <f>SUM(J147:J148)</f>
        <v>4757.3759124282824</v>
      </c>
    </row>
    <row r="150" spans="1:12" ht="27.5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A1:J1"/>
    <mergeCell ref="A2:J2"/>
    <mergeCell ref="A3:G3"/>
    <mergeCell ref="H3:J3"/>
    <mergeCell ref="A4:G4"/>
    <mergeCell ref="H4:J4"/>
    <mergeCell ref="B61:H61"/>
    <mergeCell ref="B62:H62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60:H60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ABEFF-82DE-4802-9264-C0A462BA3B45}">
  <sheetPr>
    <tabColor rgb="FF0070C0"/>
  </sheetPr>
  <dimension ref="A1:Q172"/>
  <sheetViews>
    <sheetView showGridLines="0" view="pageBreakPreview" topLeftCell="A46" zoomScaleNormal="100" zoomScaleSheetLayoutView="100" zoomScalePageLayoutView="95" workbookViewId="0">
      <selection activeCell="K59" sqref="K59"/>
    </sheetView>
  </sheetViews>
  <sheetFormatPr defaultRowHeight="12.5"/>
  <cols>
    <col min="1" max="9" width="8.7265625" customWidth="1"/>
    <col min="10" max="10" width="15.453125" customWidth="1"/>
    <col min="11" max="11" width="17.453125" customWidth="1"/>
    <col min="12" max="12" width="17" customWidth="1"/>
    <col min="13" max="16" width="8.7265625" customWidth="1"/>
    <col min="17" max="17" width="10.81640625" customWidth="1"/>
    <col min="18" max="1025" width="8.7265625" customWidth="1"/>
  </cols>
  <sheetData>
    <row r="1" spans="1:12" ht="24.25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2" ht="46.5" customHeight="1">
      <c r="A2" s="136" t="s">
        <v>297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2" ht="14.65" customHeight="1">
      <c r="A3" s="109" t="s">
        <v>1</v>
      </c>
      <c r="B3" s="109"/>
      <c r="C3" s="109"/>
      <c r="D3" s="109"/>
      <c r="E3" s="109"/>
      <c r="F3" s="109"/>
      <c r="G3" s="109"/>
      <c r="H3" s="138" t="s">
        <v>145</v>
      </c>
      <c r="I3" s="139"/>
      <c r="J3" s="139"/>
    </row>
    <row r="4" spans="1:12" ht="14.65" customHeight="1">
      <c r="A4" s="109" t="s">
        <v>2</v>
      </c>
      <c r="B4" s="109"/>
      <c r="C4" s="109"/>
      <c r="D4" s="109"/>
      <c r="E4" s="109"/>
      <c r="F4" s="109"/>
      <c r="G4" s="109"/>
      <c r="H4" s="140" t="s">
        <v>144</v>
      </c>
      <c r="I4" s="139"/>
      <c r="J4" s="139"/>
    </row>
    <row r="5" spans="1:12" ht="14.65" customHeight="1">
      <c r="A5" s="109" t="s">
        <v>3</v>
      </c>
      <c r="B5" s="109"/>
      <c r="C5" s="109"/>
      <c r="D5" s="109"/>
      <c r="E5" s="109"/>
      <c r="F5" s="109"/>
      <c r="G5" s="109"/>
      <c r="H5" s="109"/>
      <c r="I5" s="109"/>
      <c r="J5" s="109"/>
    </row>
    <row r="6" spans="1:12" ht="16.149999999999999" customHeight="1">
      <c r="A6" s="142" t="s">
        <v>4</v>
      </c>
      <c r="B6" s="142"/>
      <c r="C6" s="142"/>
      <c r="D6" s="142"/>
      <c r="E6" s="142"/>
      <c r="F6" s="142"/>
      <c r="G6" s="142"/>
      <c r="H6" s="142"/>
      <c r="I6" s="142"/>
      <c r="J6" s="142"/>
    </row>
    <row r="7" spans="1:12" ht="14.65" customHeight="1">
      <c r="A7" s="1" t="s">
        <v>5</v>
      </c>
      <c r="B7" s="109" t="s">
        <v>6</v>
      </c>
      <c r="C7" s="109"/>
      <c r="D7" s="109"/>
      <c r="E7" s="109"/>
      <c r="F7" s="109"/>
      <c r="G7" s="109"/>
      <c r="H7" s="141">
        <v>44029</v>
      </c>
      <c r="I7" s="141"/>
      <c r="J7" s="141"/>
    </row>
    <row r="8" spans="1:12" ht="14.65" customHeight="1">
      <c r="A8" s="1" t="s">
        <v>7</v>
      </c>
      <c r="B8" s="109" t="s">
        <v>8</v>
      </c>
      <c r="C8" s="109"/>
      <c r="D8" s="109"/>
      <c r="E8" s="109"/>
      <c r="F8" s="109"/>
      <c r="G8" s="109"/>
      <c r="H8" s="141" t="s">
        <v>140</v>
      </c>
      <c r="I8" s="141"/>
      <c r="J8" s="141"/>
    </row>
    <row r="9" spans="1:12" ht="39" customHeight="1">
      <c r="A9" s="1" t="s">
        <v>9</v>
      </c>
      <c r="B9" s="109" t="s">
        <v>10</v>
      </c>
      <c r="C9" s="109"/>
      <c r="D9" s="109"/>
      <c r="E9" s="109"/>
      <c r="F9" s="109"/>
      <c r="G9" s="109"/>
      <c r="H9" s="141" t="s">
        <v>11</v>
      </c>
      <c r="I9" s="141"/>
      <c r="J9" s="141"/>
      <c r="L9" s="55"/>
    </row>
    <row r="10" spans="1:12" ht="14.65" customHeight="1">
      <c r="A10" s="1" t="s">
        <v>12</v>
      </c>
      <c r="B10" s="109" t="s">
        <v>13</v>
      </c>
      <c r="C10" s="109"/>
      <c r="D10" s="109"/>
      <c r="E10" s="109"/>
      <c r="F10" s="109"/>
      <c r="G10" s="109"/>
      <c r="H10" s="139">
        <v>12</v>
      </c>
      <c r="I10" s="139"/>
      <c r="J10" s="139"/>
    </row>
    <row r="11" spans="1:12" ht="13">
      <c r="A11" s="101"/>
      <c r="B11" s="101"/>
      <c r="C11" s="101"/>
      <c r="D11" s="101"/>
      <c r="E11" s="101"/>
      <c r="F11" s="101"/>
      <c r="G11" s="101"/>
      <c r="H11" s="101"/>
      <c r="I11" s="101"/>
      <c r="J11" s="101"/>
    </row>
    <row r="12" spans="1:12" ht="48.75" customHeight="1">
      <c r="A12" s="132" t="s">
        <v>14</v>
      </c>
      <c r="B12" s="132"/>
      <c r="C12" s="132"/>
      <c r="D12" s="132"/>
      <c r="E12" s="132"/>
      <c r="F12" s="132"/>
      <c r="G12" s="132"/>
      <c r="H12" s="132"/>
      <c r="I12" s="132"/>
      <c r="J12" s="132"/>
      <c r="L12" s="55"/>
    </row>
    <row r="13" spans="1:12" ht="13">
      <c r="A13" s="101"/>
      <c r="B13" s="101"/>
      <c r="C13" s="101"/>
      <c r="D13" s="101"/>
      <c r="E13" s="101"/>
      <c r="F13" s="101"/>
      <c r="G13" s="101"/>
      <c r="H13" s="101"/>
      <c r="I13" s="101"/>
      <c r="J13" s="101"/>
    </row>
    <row r="14" spans="1:12" ht="16.149999999999999" customHeight="1">
      <c r="A14" s="115" t="s">
        <v>15</v>
      </c>
      <c r="B14" s="115"/>
      <c r="C14" s="115"/>
      <c r="D14" s="115"/>
      <c r="E14" s="115"/>
      <c r="F14" s="115"/>
      <c r="G14" s="115"/>
      <c r="H14" s="115"/>
      <c r="I14" s="115"/>
      <c r="J14" s="115"/>
      <c r="L14" s="55"/>
    </row>
    <row r="15" spans="1:12" ht="16.149999999999999" customHeight="1">
      <c r="A15" s="1">
        <v>1</v>
      </c>
      <c r="B15" s="109" t="s">
        <v>16</v>
      </c>
      <c r="C15" s="109"/>
      <c r="D15" s="109"/>
      <c r="E15" s="109"/>
      <c r="F15" s="109"/>
      <c r="G15" s="109"/>
      <c r="H15" s="134" t="s">
        <v>17</v>
      </c>
      <c r="I15" s="134"/>
      <c r="J15" s="134"/>
    </row>
    <row r="16" spans="1:12" ht="16.149999999999999" customHeight="1">
      <c r="A16" s="1">
        <v>2</v>
      </c>
      <c r="B16" s="109" t="s">
        <v>18</v>
      </c>
      <c r="C16" s="109"/>
      <c r="D16" s="109"/>
      <c r="E16" s="109"/>
      <c r="F16" s="109"/>
      <c r="G16" s="109"/>
      <c r="H16" s="134">
        <v>9511</v>
      </c>
      <c r="I16" s="134"/>
      <c r="J16" s="134"/>
    </row>
    <row r="17" spans="1:17" ht="16.149999999999999" customHeight="1">
      <c r="A17" s="1">
        <v>3</v>
      </c>
      <c r="B17" s="109" t="s">
        <v>19</v>
      </c>
      <c r="C17" s="109"/>
      <c r="D17" s="109"/>
      <c r="E17" s="109"/>
      <c r="F17" s="109"/>
      <c r="G17" s="109"/>
      <c r="H17" s="143">
        <v>1601.35</v>
      </c>
      <c r="I17" s="143"/>
      <c r="J17" s="143"/>
    </row>
    <row r="18" spans="1:17" ht="16.149999999999999" customHeight="1">
      <c r="A18" s="1">
        <v>4</v>
      </c>
      <c r="B18" s="109" t="s">
        <v>20</v>
      </c>
      <c r="C18" s="109"/>
      <c r="D18" s="109"/>
      <c r="E18" s="109"/>
      <c r="F18" s="109"/>
      <c r="G18" s="109"/>
      <c r="H18" s="134" t="s">
        <v>179</v>
      </c>
      <c r="I18" s="134"/>
      <c r="J18" s="134"/>
    </row>
    <row r="19" spans="1:17" ht="16.149999999999999" customHeight="1">
      <c r="A19" s="1">
        <v>5</v>
      </c>
      <c r="B19" s="109" t="s">
        <v>21</v>
      </c>
      <c r="C19" s="109"/>
      <c r="D19" s="109"/>
      <c r="E19" s="109"/>
      <c r="F19" s="109"/>
      <c r="G19" s="109"/>
      <c r="H19" s="133" t="s">
        <v>141</v>
      </c>
      <c r="I19" s="133"/>
      <c r="J19" s="133"/>
    </row>
    <row r="20" spans="1:17" ht="16.149999999999999" customHeight="1">
      <c r="A20" s="1">
        <v>5</v>
      </c>
      <c r="B20" s="109" t="s">
        <v>133</v>
      </c>
      <c r="C20" s="109"/>
      <c r="D20" s="109"/>
      <c r="E20" s="109"/>
      <c r="F20" s="109"/>
      <c r="G20" s="109"/>
      <c r="H20" s="131">
        <v>40</v>
      </c>
      <c r="I20" s="131"/>
      <c r="J20" s="131"/>
    </row>
    <row r="21" spans="1:17" ht="13">
      <c r="A21" s="101"/>
      <c r="B21" s="101"/>
      <c r="C21" s="101"/>
      <c r="D21" s="101"/>
      <c r="E21" s="101"/>
      <c r="F21" s="101"/>
      <c r="G21" s="101"/>
      <c r="H21" s="101"/>
      <c r="I21" s="101"/>
      <c r="J21" s="101"/>
    </row>
    <row r="22" spans="1:17" ht="20.65" customHeight="1">
      <c r="A22" s="132" t="s">
        <v>22</v>
      </c>
      <c r="B22" s="132"/>
      <c r="C22" s="132"/>
      <c r="D22" s="132"/>
      <c r="E22" s="132"/>
      <c r="F22" s="132"/>
      <c r="G22" s="132"/>
      <c r="H22" s="132"/>
      <c r="I22" s="132"/>
      <c r="J22" s="132"/>
    </row>
    <row r="23" spans="1:17" ht="30.4" customHeight="1">
      <c r="A23" s="68">
        <v>1</v>
      </c>
      <c r="B23" s="115" t="s">
        <v>23</v>
      </c>
      <c r="C23" s="115"/>
      <c r="D23" s="115"/>
      <c r="E23" s="115"/>
      <c r="F23" s="115"/>
      <c r="G23" s="115"/>
      <c r="H23" s="115" t="s">
        <v>24</v>
      </c>
      <c r="I23" s="115"/>
      <c r="J23" s="68" t="s">
        <v>25</v>
      </c>
    </row>
    <row r="24" spans="1:17" ht="12.75" customHeight="1">
      <c r="A24" s="1" t="s">
        <v>5</v>
      </c>
      <c r="B24" s="109" t="s">
        <v>143</v>
      </c>
      <c r="C24" s="109"/>
      <c r="D24" s="109"/>
      <c r="E24" s="109"/>
      <c r="F24" s="109"/>
      <c r="G24" s="109"/>
      <c r="H24" s="109"/>
      <c r="I24" s="109"/>
      <c r="J24" s="2">
        <f>ROUND(H17/44*H20,2)</f>
        <v>1455.77</v>
      </c>
    </row>
    <row r="25" spans="1:17" ht="12.75" customHeight="1">
      <c r="A25" s="67" t="s">
        <v>7</v>
      </c>
      <c r="B25" s="109" t="s">
        <v>184</v>
      </c>
      <c r="C25" s="109"/>
      <c r="D25" s="109"/>
      <c r="E25" s="109"/>
      <c r="F25" s="109"/>
      <c r="G25" s="109"/>
      <c r="H25" s="109"/>
      <c r="I25" s="3"/>
      <c r="J25" s="2"/>
      <c r="K25" s="57"/>
    </row>
    <row r="26" spans="1:17" ht="12.75" customHeight="1">
      <c r="A26" s="67" t="s">
        <v>9</v>
      </c>
      <c r="B26" s="109" t="s">
        <v>27</v>
      </c>
      <c r="C26" s="109"/>
      <c r="D26" s="109"/>
      <c r="E26" s="109"/>
      <c r="F26" s="109"/>
      <c r="G26" s="109"/>
      <c r="H26" s="109"/>
      <c r="I26" s="109"/>
      <c r="J26" s="2"/>
    </row>
    <row r="27" spans="1:17" ht="12.75" customHeight="1">
      <c r="A27" s="67" t="s">
        <v>12</v>
      </c>
      <c r="B27" s="109" t="s">
        <v>28</v>
      </c>
      <c r="C27" s="109"/>
      <c r="D27" s="109"/>
      <c r="E27" s="109"/>
      <c r="F27" s="109"/>
      <c r="G27" s="109"/>
      <c r="H27" s="109"/>
      <c r="I27" s="109"/>
      <c r="J27" s="2"/>
    </row>
    <row r="28" spans="1:17" ht="12.75" customHeight="1">
      <c r="A28" s="67" t="s">
        <v>29</v>
      </c>
      <c r="B28" s="109" t="s">
        <v>30</v>
      </c>
      <c r="C28" s="109"/>
      <c r="D28" s="109"/>
      <c r="E28" s="109"/>
      <c r="F28" s="109"/>
      <c r="G28" s="109"/>
      <c r="H28" s="109"/>
      <c r="I28" s="109"/>
      <c r="J28" s="2"/>
      <c r="Q28" s="54"/>
    </row>
    <row r="29" spans="1:17" ht="12.75" customHeight="1">
      <c r="A29" s="1" t="s">
        <v>7</v>
      </c>
      <c r="B29" s="109" t="s">
        <v>26</v>
      </c>
      <c r="C29" s="109"/>
      <c r="D29" s="109"/>
      <c r="E29" s="109"/>
      <c r="F29" s="109"/>
      <c r="G29" s="109"/>
      <c r="H29" s="109"/>
      <c r="I29" s="4">
        <v>0.3</v>
      </c>
      <c r="J29" s="2">
        <f>I29*J24</f>
        <v>436.73099999999999</v>
      </c>
      <c r="Q29" s="54"/>
    </row>
    <row r="30" spans="1:17" ht="15.75" customHeight="1">
      <c r="A30" s="116" t="s">
        <v>32</v>
      </c>
      <c r="B30" s="116"/>
      <c r="C30" s="116"/>
      <c r="D30" s="116"/>
      <c r="E30" s="116"/>
      <c r="F30" s="116"/>
      <c r="G30" s="116"/>
      <c r="H30" s="116"/>
      <c r="I30" s="116"/>
      <c r="J30" s="5">
        <f>SUM(J24:J29)</f>
        <v>1892.501</v>
      </c>
    </row>
    <row r="31" spans="1:17" ht="13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Q31" s="54"/>
    </row>
    <row r="32" spans="1:17" ht="16.149999999999999" customHeight="1">
      <c r="A32" s="112" t="s">
        <v>33</v>
      </c>
      <c r="B32" s="112"/>
      <c r="C32" s="112"/>
      <c r="D32" s="112"/>
      <c r="E32" s="112"/>
      <c r="F32" s="112"/>
      <c r="G32" s="112"/>
      <c r="H32" s="112"/>
      <c r="I32" s="112"/>
      <c r="J32" s="112"/>
    </row>
    <row r="33" spans="1:13" ht="14">
      <c r="A33" s="129" t="s">
        <v>34</v>
      </c>
      <c r="B33" s="129"/>
      <c r="C33" s="129"/>
      <c r="D33" s="129"/>
      <c r="E33" s="129"/>
      <c r="F33" s="129"/>
      <c r="G33" s="129"/>
      <c r="H33" s="129"/>
      <c r="I33" s="129"/>
      <c r="J33" s="129"/>
    </row>
    <row r="34" spans="1:13" ht="14">
      <c r="A34" s="6" t="s">
        <v>35</v>
      </c>
      <c r="B34" s="130" t="s">
        <v>36</v>
      </c>
      <c r="C34" s="130"/>
      <c r="D34" s="130"/>
      <c r="E34" s="130"/>
      <c r="F34" s="130"/>
      <c r="G34" s="130"/>
      <c r="H34" s="130"/>
      <c r="I34" s="130"/>
      <c r="J34" s="7" t="s">
        <v>37</v>
      </c>
    </row>
    <row r="35" spans="1:13" ht="27.65" customHeight="1">
      <c r="A35" s="8" t="s">
        <v>5</v>
      </c>
      <c r="B35" s="109" t="s">
        <v>38</v>
      </c>
      <c r="C35" s="109"/>
      <c r="D35" s="109"/>
      <c r="E35" s="109"/>
      <c r="F35" s="109"/>
      <c r="G35" s="109"/>
      <c r="H35" s="109"/>
      <c r="I35" s="9">
        <v>8.3299999999999999E-2</v>
      </c>
      <c r="J35" s="10">
        <f>ROUND($J$30*I35,2)</f>
        <v>157.65</v>
      </c>
      <c r="M35" s="55"/>
    </row>
    <row r="36" spans="1:13" ht="36.25" customHeight="1">
      <c r="A36" s="8" t="s">
        <v>7</v>
      </c>
      <c r="B36" s="120" t="s">
        <v>39</v>
      </c>
      <c r="C36" s="120"/>
      <c r="D36" s="120"/>
      <c r="E36" s="120"/>
      <c r="F36" s="120"/>
      <c r="G36" s="120"/>
      <c r="H36" s="120"/>
      <c r="I36" s="11">
        <v>3.0249999999999999E-2</v>
      </c>
      <c r="J36" s="10">
        <f>ROUND($J$30*I36,2)</f>
        <v>57.25</v>
      </c>
    </row>
    <row r="37" spans="1:13" ht="13">
      <c r="A37" s="128" t="s">
        <v>40</v>
      </c>
      <c r="B37" s="128"/>
      <c r="C37" s="128"/>
      <c r="D37" s="128"/>
      <c r="E37" s="128"/>
      <c r="F37" s="128"/>
      <c r="G37" s="128"/>
      <c r="H37" s="128"/>
      <c r="I37" s="128"/>
      <c r="J37" s="70">
        <f>SUM(J35+J36)</f>
        <v>214.9</v>
      </c>
    </row>
    <row r="38" spans="1:13" ht="13">
      <c r="A38" s="101"/>
      <c r="B38" s="101"/>
      <c r="C38" s="101"/>
      <c r="D38" s="101"/>
      <c r="E38" s="101"/>
      <c r="F38" s="101"/>
      <c r="G38" s="101"/>
      <c r="H38" s="101"/>
      <c r="I38" s="101"/>
      <c r="J38" s="101"/>
    </row>
    <row r="39" spans="1:13" ht="30.4" customHeight="1">
      <c r="A39" s="112" t="s">
        <v>41</v>
      </c>
      <c r="B39" s="112"/>
      <c r="C39" s="112"/>
      <c r="D39" s="112"/>
      <c r="E39" s="112"/>
      <c r="F39" s="112"/>
      <c r="G39" s="112"/>
      <c r="H39" s="112"/>
      <c r="I39" s="112"/>
      <c r="J39" s="112"/>
    </row>
    <row r="40" spans="1:13" ht="30.4" customHeight="1">
      <c r="A40" s="69" t="s">
        <v>42</v>
      </c>
      <c r="B40" s="113" t="s">
        <v>43</v>
      </c>
      <c r="C40" s="113"/>
      <c r="D40" s="113"/>
      <c r="E40" s="113"/>
      <c r="F40" s="113"/>
      <c r="G40" s="113"/>
      <c r="H40" s="113"/>
      <c r="I40" s="68" t="s">
        <v>44</v>
      </c>
      <c r="J40" s="68" t="s">
        <v>45</v>
      </c>
    </row>
    <row r="41" spans="1:13" ht="13">
      <c r="A41" s="8" t="s">
        <v>5</v>
      </c>
      <c r="B41" s="104" t="s">
        <v>46</v>
      </c>
      <c r="C41" s="104"/>
      <c r="D41" s="104"/>
      <c r="E41" s="104"/>
      <c r="F41" s="104"/>
      <c r="G41" s="104"/>
      <c r="H41" s="104"/>
      <c r="I41" s="15">
        <v>0.2</v>
      </c>
      <c r="J41" s="16">
        <f>ROUND(($J$30+$J$37)*I41,2)</f>
        <v>421.48</v>
      </c>
    </row>
    <row r="42" spans="1:13" ht="13">
      <c r="A42" s="8" t="s">
        <v>7</v>
      </c>
      <c r="B42" s="104" t="s">
        <v>47</v>
      </c>
      <c r="C42" s="104"/>
      <c r="D42" s="104"/>
      <c r="E42" s="104"/>
      <c r="F42" s="104"/>
      <c r="G42" s="104"/>
      <c r="H42" s="104"/>
      <c r="I42" s="15">
        <v>2.5000000000000001E-2</v>
      </c>
      <c r="J42" s="16">
        <f t="shared" ref="J42:J48" si="0">ROUND(($J$30+$J$37)*I42,2)</f>
        <v>52.69</v>
      </c>
    </row>
    <row r="43" spans="1:13" ht="23.9" customHeight="1">
      <c r="A43" s="8" t="s">
        <v>9</v>
      </c>
      <c r="B43" s="109" t="s">
        <v>48</v>
      </c>
      <c r="C43" s="109"/>
      <c r="D43" s="109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21.07</v>
      </c>
    </row>
    <row r="44" spans="1:13" ht="13">
      <c r="A44" s="8" t="s">
        <v>12</v>
      </c>
      <c r="B44" s="104" t="s">
        <v>51</v>
      </c>
      <c r="C44" s="104"/>
      <c r="D44" s="104"/>
      <c r="E44" s="104"/>
      <c r="F44" s="104"/>
      <c r="G44" s="104"/>
      <c r="H44" s="104"/>
      <c r="I44" s="15">
        <v>1.4999999999999999E-2</v>
      </c>
      <c r="J44" s="16">
        <f t="shared" si="0"/>
        <v>31.61</v>
      </c>
    </row>
    <row r="45" spans="1:13" ht="13">
      <c r="A45" s="8" t="s">
        <v>29</v>
      </c>
      <c r="B45" s="104" t="s">
        <v>52</v>
      </c>
      <c r="C45" s="104"/>
      <c r="D45" s="104"/>
      <c r="E45" s="104"/>
      <c r="F45" s="104"/>
      <c r="G45" s="104"/>
      <c r="H45" s="104"/>
      <c r="I45" s="15">
        <v>0.01</v>
      </c>
      <c r="J45" s="16">
        <f t="shared" si="0"/>
        <v>21.07</v>
      </c>
    </row>
    <row r="46" spans="1:13" ht="13">
      <c r="A46" s="8" t="s">
        <v>53</v>
      </c>
      <c r="B46" s="104" t="s">
        <v>54</v>
      </c>
      <c r="C46" s="104"/>
      <c r="D46" s="104"/>
      <c r="E46" s="104"/>
      <c r="F46" s="104"/>
      <c r="G46" s="104"/>
      <c r="H46" s="104"/>
      <c r="I46" s="15">
        <v>6.0000000000000001E-3</v>
      </c>
      <c r="J46" s="16">
        <f t="shared" si="0"/>
        <v>12.64</v>
      </c>
    </row>
    <row r="47" spans="1:13" ht="13">
      <c r="A47" s="8" t="s">
        <v>55</v>
      </c>
      <c r="B47" s="104" t="s">
        <v>56</v>
      </c>
      <c r="C47" s="104"/>
      <c r="D47" s="104"/>
      <c r="E47" s="104"/>
      <c r="F47" s="104"/>
      <c r="G47" s="104"/>
      <c r="H47" s="104"/>
      <c r="I47" s="15">
        <v>2E-3</v>
      </c>
      <c r="J47" s="16">
        <f t="shared" si="0"/>
        <v>4.21</v>
      </c>
    </row>
    <row r="48" spans="1:13" ht="13">
      <c r="A48" s="8" t="s">
        <v>57</v>
      </c>
      <c r="B48" s="104" t="s">
        <v>58</v>
      </c>
      <c r="C48" s="104"/>
      <c r="D48" s="104"/>
      <c r="E48" s="104"/>
      <c r="F48" s="104"/>
      <c r="G48" s="104"/>
      <c r="H48" s="104"/>
      <c r="I48" s="15">
        <v>0.08</v>
      </c>
      <c r="J48" s="16">
        <f t="shared" si="0"/>
        <v>168.59</v>
      </c>
    </row>
    <row r="49" spans="1:12" ht="13">
      <c r="A49" s="105" t="s">
        <v>40</v>
      </c>
      <c r="B49" s="105"/>
      <c r="C49" s="105"/>
      <c r="D49" s="105"/>
      <c r="E49" s="105"/>
      <c r="F49" s="105"/>
      <c r="G49" s="105"/>
      <c r="H49" s="105"/>
      <c r="I49" s="21">
        <f>SUM(I41:I48)</f>
        <v>0.34800000000000003</v>
      </c>
      <c r="J49" s="14">
        <f>SUM(J41:J48)</f>
        <v>733.36000000000013</v>
      </c>
    </row>
    <row r="50" spans="1:12" ht="13">
      <c r="A50" s="101"/>
      <c r="B50" s="101"/>
      <c r="C50" s="101"/>
      <c r="D50" s="101"/>
      <c r="E50" s="101"/>
      <c r="F50" s="101"/>
      <c r="G50" s="101"/>
      <c r="H50" s="101"/>
      <c r="I50" s="101"/>
      <c r="J50" s="101"/>
    </row>
    <row r="51" spans="1:12" ht="16.149999999999999" customHeight="1">
      <c r="A51" s="112" t="s">
        <v>59</v>
      </c>
      <c r="B51" s="112"/>
      <c r="C51" s="112"/>
      <c r="D51" s="112"/>
      <c r="E51" s="112"/>
      <c r="F51" s="112"/>
      <c r="G51" s="112"/>
      <c r="H51" s="112"/>
      <c r="I51" s="112"/>
      <c r="J51" s="112"/>
      <c r="L51" s="53"/>
    </row>
    <row r="52" spans="1:12" ht="16.149999999999999" customHeight="1">
      <c r="A52" s="69" t="s">
        <v>60</v>
      </c>
      <c r="B52" s="113" t="s">
        <v>61</v>
      </c>
      <c r="C52" s="113"/>
      <c r="D52" s="113"/>
      <c r="E52" s="113"/>
      <c r="F52" s="113"/>
      <c r="G52" s="113"/>
      <c r="H52" s="113"/>
      <c r="I52" s="113"/>
      <c r="J52" s="68" t="s">
        <v>37</v>
      </c>
    </row>
    <row r="53" spans="1:12" ht="13">
      <c r="A53" s="8" t="s">
        <v>5</v>
      </c>
      <c r="B53" s="104" t="s">
        <v>62</v>
      </c>
      <c r="C53" s="104"/>
      <c r="D53" s="104"/>
      <c r="E53" s="104"/>
      <c r="F53" s="104"/>
      <c r="G53" s="104"/>
      <c r="H53" s="104"/>
      <c r="I53" s="104"/>
      <c r="J53" s="16">
        <f>IF(ROUND((I56*I54*I55)-(J24*0.06),2)&lt;0,0,ROUND((I56*I54*I55)-(J24*0.06),2))</f>
        <v>123.85</v>
      </c>
    </row>
    <row r="54" spans="1:12" ht="13">
      <c r="A54" s="8"/>
      <c r="B54" s="121" t="s">
        <v>63</v>
      </c>
      <c r="C54" s="121"/>
      <c r="D54" s="121"/>
      <c r="E54" s="121"/>
      <c r="F54" s="121"/>
      <c r="G54" s="121"/>
      <c r="H54" s="121"/>
      <c r="I54" s="22">
        <v>4.8</v>
      </c>
      <c r="J54" s="51" t="s">
        <v>64</v>
      </c>
    </row>
    <row r="55" spans="1:12" ht="13">
      <c r="A55" s="8"/>
      <c r="B55" s="121" t="s">
        <v>65</v>
      </c>
      <c r="C55" s="121"/>
      <c r="D55" s="121"/>
      <c r="E55" s="121"/>
      <c r="F55" s="121"/>
      <c r="G55" s="121"/>
      <c r="H55" s="121"/>
      <c r="I55" s="23">
        <v>2</v>
      </c>
      <c r="J55" s="51"/>
    </row>
    <row r="56" spans="1:12" ht="13">
      <c r="A56" s="8"/>
      <c r="B56" s="121" t="s">
        <v>66</v>
      </c>
      <c r="C56" s="121"/>
      <c r="D56" s="121"/>
      <c r="E56" s="121"/>
      <c r="F56" s="121"/>
      <c r="G56" s="121"/>
      <c r="H56" s="121"/>
      <c r="I56" s="24">
        <v>22</v>
      </c>
      <c r="J56" s="51"/>
    </row>
    <row r="57" spans="1:12" ht="13">
      <c r="A57" s="8" t="s">
        <v>7</v>
      </c>
      <c r="B57" s="104" t="s">
        <v>67</v>
      </c>
      <c r="C57" s="104"/>
      <c r="D57" s="104"/>
      <c r="E57" s="104"/>
      <c r="F57" s="104"/>
      <c r="G57" s="104"/>
      <c r="H57" s="104"/>
      <c r="I57" s="104"/>
      <c r="J57" s="16">
        <f>ROUND((I58*I59)-(I59*I58*I60),2)</f>
        <v>359.61</v>
      </c>
    </row>
    <row r="58" spans="1:12" ht="13">
      <c r="A58" s="8"/>
      <c r="B58" s="121" t="s">
        <v>68</v>
      </c>
      <c r="C58" s="121"/>
      <c r="D58" s="121"/>
      <c r="E58" s="121"/>
      <c r="F58" s="121"/>
      <c r="G58" s="121"/>
      <c r="H58" s="121"/>
      <c r="I58" s="22">
        <v>20.18</v>
      </c>
      <c r="J58" s="51" t="s">
        <v>64</v>
      </c>
    </row>
    <row r="59" spans="1:12" ht="13">
      <c r="A59" s="25"/>
      <c r="B59" s="121" t="s">
        <v>69</v>
      </c>
      <c r="C59" s="121"/>
      <c r="D59" s="121"/>
      <c r="E59" s="121"/>
      <c r="F59" s="121"/>
      <c r="G59" s="121"/>
      <c r="H59" s="121"/>
      <c r="I59" s="26">
        <v>22</v>
      </c>
      <c r="J59" s="51"/>
    </row>
    <row r="60" spans="1:12" ht="13">
      <c r="A60" s="25"/>
      <c r="B60" s="121" t="s">
        <v>132</v>
      </c>
      <c r="C60" s="121"/>
      <c r="D60" s="121"/>
      <c r="E60" s="121"/>
      <c r="F60" s="121"/>
      <c r="G60" s="121"/>
      <c r="H60" s="121"/>
      <c r="I60" s="52">
        <v>0.19</v>
      </c>
      <c r="J60" s="51"/>
    </row>
    <row r="61" spans="1:12" ht="27.65" customHeight="1">
      <c r="A61" s="8" t="s">
        <v>9</v>
      </c>
      <c r="B61" s="122" t="s">
        <v>70</v>
      </c>
      <c r="C61" s="123"/>
      <c r="D61" s="123"/>
      <c r="E61" s="123"/>
      <c r="F61" s="123"/>
      <c r="G61" s="123"/>
      <c r="H61" s="123"/>
      <c r="I61" s="124"/>
      <c r="J61" s="27">
        <v>0</v>
      </c>
    </row>
    <row r="62" spans="1:12" ht="27.65" customHeight="1">
      <c r="A62" s="8" t="s">
        <v>12</v>
      </c>
      <c r="B62" s="122"/>
      <c r="C62" s="123"/>
      <c r="D62" s="123"/>
      <c r="E62" s="123"/>
      <c r="F62" s="123"/>
      <c r="G62" s="123"/>
      <c r="H62" s="123"/>
      <c r="I62" s="124"/>
      <c r="J62" s="27"/>
      <c r="L62" s="50"/>
    </row>
    <row r="63" spans="1:12" ht="27.65" customHeight="1">
      <c r="A63" s="8" t="s">
        <v>12</v>
      </c>
      <c r="B63" s="122" t="s">
        <v>186</v>
      </c>
      <c r="C63" s="123"/>
      <c r="D63" s="123"/>
      <c r="E63" s="123"/>
      <c r="F63" s="123"/>
      <c r="G63" s="123"/>
      <c r="H63" s="123"/>
      <c r="I63" s="124"/>
      <c r="J63" s="27">
        <v>17.32</v>
      </c>
      <c r="L63" s="50"/>
    </row>
    <row r="64" spans="1:12" ht="13">
      <c r="A64" s="125" t="s">
        <v>32</v>
      </c>
      <c r="B64" s="126"/>
      <c r="C64" s="126"/>
      <c r="D64" s="126"/>
      <c r="E64" s="126"/>
      <c r="F64" s="126"/>
      <c r="G64" s="126"/>
      <c r="H64" s="126"/>
      <c r="I64" s="127"/>
      <c r="J64" s="14">
        <f>SUM(J53:J63)</f>
        <v>500.78000000000003</v>
      </c>
      <c r="L64" s="50"/>
    </row>
    <row r="65" spans="1:12" ht="13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L65" s="50"/>
    </row>
    <row r="66" spans="1:12" ht="16.149999999999999" customHeight="1">
      <c r="A66" s="112" t="s">
        <v>71</v>
      </c>
      <c r="B66" s="112"/>
      <c r="C66" s="112"/>
      <c r="D66" s="112"/>
      <c r="E66" s="112"/>
      <c r="F66" s="112"/>
      <c r="G66" s="112"/>
      <c r="H66" s="112"/>
      <c r="I66" s="112"/>
      <c r="J66" s="112"/>
      <c r="L66" s="50"/>
    </row>
    <row r="67" spans="1:12" ht="16.149999999999999" customHeight="1">
      <c r="A67" s="68">
        <v>2</v>
      </c>
      <c r="B67" s="115" t="s">
        <v>72</v>
      </c>
      <c r="C67" s="115"/>
      <c r="D67" s="115"/>
      <c r="E67" s="115"/>
      <c r="F67" s="115"/>
      <c r="G67" s="115"/>
      <c r="H67" s="115"/>
      <c r="I67" s="115"/>
      <c r="J67" s="68" t="s">
        <v>37</v>
      </c>
      <c r="L67" s="50"/>
    </row>
    <row r="68" spans="1:12" ht="14.65" customHeight="1">
      <c r="A68" s="1" t="s">
        <v>35</v>
      </c>
      <c r="B68" s="1"/>
      <c r="C68" s="109" t="s">
        <v>73</v>
      </c>
      <c r="D68" s="109"/>
      <c r="E68" s="109"/>
      <c r="F68" s="109"/>
      <c r="G68" s="109"/>
      <c r="H68" s="109"/>
      <c r="I68" s="109"/>
      <c r="J68" s="28">
        <f>J37</f>
        <v>214.9</v>
      </c>
      <c r="L68" s="50"/>
    </row>
    <row r="69" spans="1:12" ht="14.65" customHeight="1">
      <c r="A69" s="1" t="s">
        <v>42</v>
      </c>
      <c r="B69" s="1"/>
      <c r="C69" s="109" t="s">
        <v>43</v>
      </c>
      <c r="D69" s="109"/>
      <c r="E69" s="109"/>
      <c r="F69" s="109"/>
      <c r="G69" s="109"/>
      <c r="H69" s="109"/>
      <c r="I69" s="109"/>
      <c r="J69" s="28">
        <f>J49</f>
        <v>733.36000000000013</v>
      </c>
      <c r="L69" s="50"/>
    </row>
    <row r="70" spans="1:12" ht="14.65" customHeight="1">
      <c r="A70" s="1" t="s">
        <v>60</v>
      </c>
      <c r="B70" s="1"/>
      <c r="C70" s="109" t="s">
        <v>61</v>
      </c>
      <c r="D70" s="109"/>
      <c r="E70" s="109"/>
      <c r="F70" s="109"/>
      <c r="G70" s="109"/>
      <c r="H70" s="109"/>
      <c r="I70" s="109"/>
      <c r="J70" s="28">
        <f>J64</f>
        <v>500.78000000000003</v>
      </c>
      <c r="L70" s="50"/>
    </row>
    <row r="71" spans="1:12" ht="14.65" customHeight="1">
      <c r="A71" s="116" t="s">
        <v>40</v>
      </c>
      <c r="B71" s="116"/>
      <c r="C71" s="116"/>
      <c r="D71" s="116"/>
      <c r="E71" s="116"/>
      <c r="F71" s="116"/>
      <c r="G71" s="116"/>
      <c r="H71" s="116"/>
      <c r="I71" s="116"/>
      <c r="J71" s="29">
        <f>SUM(J68+J69+J70)</f>
        <v>1449.0400000000002</v>
      </c>
    </row>
    <row r="72" spans="1:12" ht="13">
      <c r="A72" s="101"/>
      <c r="B72" s="101"/>
      <c r="C72" s="101"/>
      <c r="D72" s="101"/>
      <c r="E72" s="101"/>
      <c r="F72" s="101"/>
      <c r="G72" s="101"/>
      <c r="H72" s="101"/>
      <c r="I72" s="101"/>
      <c r="J72" s="101"/>
    </row>
    <row r="73" spans="1:12" ht="16.149999999999999" customHeight="1">
      <c r="A73" s="112" t="s">
        <v>74</v>
      </c>
      <c r="B73" s="112"/>
      <c r="C73" s="112"/>
      <c r="D73" s="112"/>
      <c r="E73" s="112"/>
      <c r="F73" s="112"/>
      <c r="G73" s="112"/>
      <c r="H73" s="112"/>
      <c r="I73" s="112"/>
      <c r="J73" s="112"/>
    </row>
    <row r="74" spans="1:12" ht="16.149999999999999" customHeight="1">
      <c r="A74" s="69">
        <v>3</v>
      </c>
      <c r="B74" s="115" t="s">
        <v>75</v>
      </c>
      <c r="C74" s="115"/>
      <c r="D74" s="115"/>
      <c r="E74" s="115"/>
      <c r="F74" s="115"/>
      <c r="G74" s="115"/>
      <c r="H74" s="115"/>
      <c r="I74" s="115"/>
      <c r="J74" s="69" t="s">
        <v>76</v>
      </c>
    </row>
    <row r="75" spans="1:12" ht="46.5" customHeight="1">
      <c r="A75" s="8" t="s">
        <v>5</v>
      </c>
      <c r="B75" s="109" t="s">
        <v>135</v>
      </c>
      <c r="C75" s="109"/>
      <c r="D75" s="109"/>
      <c r="E75" s="109"/>
      <c r="F75" s="109"/>
      <c r="G75" s="109"/>
      <c r="H75" s="109"/>
      <c r="I75" s="109"/>
      <c r="J75" s="16">
        <f>ROUND(((J30)+(J35)+(J30/12)+(J36))/12*0.01,2)</f>
        <v>1.89</v>
      </c>
      <c r="L75" s="50"/>
    </row>
    <row r="76" spans="1:12" ht="14.65" customHeight="1">
      <c r="A76" s="8" t="s">
        <v>7</v>
      </c>
      <c r="B76" s="109" t="s">
        <v>77</v>
      </c>
      <c r="C76" s="109"/>
      <c r="D76" s="109"/>
      <c r="E76" s="109"/>
      <c r="F76" s="109"/>
      <c r="G76" s="109"/>
      <c r="H76" s="109"/>
      <c r="I76" s="109"/>
      <c r="J76" s="16">
        <f>ROUND($J$75*I48,2)</f>
        <v>0.15</v>
      </c>
    </row>
    <row r="77" spans="1:12" ht="36.25" customHeight="1">
      <c r="A77" s="8" t="s">
        <v>9</v>
      </c>
      <c r="B77" s="109" t="s">
        <v>136</v>
      </c>
      <c r="C77" s="109"/>
      <c r="D77" s="109"/>
      <c r="E77" s="109"/>
      <c r="F77" s="109"/>
      <c r="G77" s="109"/>
      <c r="H77" s="109"/>
      <c r="I77" s="30">
        <v>2.3999999999999998E-3</v>
      </c>
      <c r="J77" s="16">
        <f>ROUND($J$30*I77,2)</f>
        <v>4.54</v>
      </c>
    </row>
    <row r="78" spans="1:12" ht="34.5" customHeight="1">
      <c r="A78" s="8" t="s">
        <v>12</v>
      </c>
      <c r="B78" s="109" t="s">
        <v>138</v>
      </c>
      <c r="C78" s="109"/>
      <c r="D78" s="109"/>
      <c r="E78" s="109"/>
      <c r="F78" s="109"/>
      <c r="G78" s="109"/>
      <c r="H78" s="109"/>
      <c r="I78" s="109"/>
      <c r="J78" s="16">
        <f>J30/30*7/12*0.05</f>
        <v>1.8399315277777779</v>
      </c>
    </row>
    <row r="79" spans="1:12" ht="14.65" customHeight="1">
      <c r="A79" s="8" t="s">
        <v>29</v>
      </c>
      <c r="B79" s="109" t="s">
        <v>78</v>
      </c>
      <c r="C79" s="109"/>
      <c r="D79" s="109"/>
      <c r="E79" s="109"/>
      <c r="F79" s="109"/>
      <c r="G79" s="109"/>
      <c r="H79" s="109"/>
      <c r="I79" s="109"/>
      <c r="J79" s="16">
        <f>ROUND($I$49*J78,2)</f>
        <v>0.64</v>
      </c>
    </row>
    <row r="80" spans="1:12" ht="36.25" customHeight="1">
      <c r="A80" s="8" t="s">
        <v>53</v>
      </c>
      <c r="B80" s="109" t="s">
        <v>137</v>
      </c>
      <c r="C80" s="109"/>
      <c r="D80" s="109"/>
      <c r="E80" s="109"/>
      <c r="F80" s="109"/>
      <c r="G80" s="109"/>
      <c r="H80" s="109"/>
      <c r="I80" s="30">
        <v>3.7600000000000001E-2</v>
      </c>
      <c r="J80" s="16">
        <f>ROUND($J$30*I80,2)</f>
        <v>71.16</v>
      </c>
    </row>
    <row r="81" spans="1:10" ht="13">
      <c r="A81" s="105" t="s">
        <v>40</v>
      </c>
      <c r="B81" s="105"/>
      <c r="C81" s="105"/>
      <c r="D81" s="105"/>
      <c r="E81" s="105"/>
      <c r="F81" s="105"/>
      <c r="G81" s="105"/>
      <c r="H81" s="105"/>
      <c r="I81" s="105"/>
      <c r="J81" s="14">
        <f>SUM(J75:J80)</f>
        <v>80.219931527777774</v>
      </c>
    </row>
    <row r="82" spans="1:10" ht="13">
      <c r="A82" s="101"/>
      <c r="B82" s="101"/>
      <c r="C82" s="101"/>
      <c r="D82" s="101"/>
      <c r="E82" s="101"/>
      <c r="F82" s="101"/>
      <c r="G82" s="101"/>
      <c r="H82" s="101"/>
      <c r="I82" s="101"/>
      <c r="J82" s="101"/>
    </row>
    <row r="83" spans="1:10" ht="16.149999999999999" customHeight="1">
      <c r="A83" s="112" t="s">
        <v>79</v>
      </c>
      <c r="B83" s="112"/>
      <c r="C83" s="112"/>
      <c r="D83" s="112"/>
      <c r="E83" s="112"/>
      <c r="F83" s="112"/>
      <c r="G83" s="112"/>
      <c r="H83" s="112"/>
      <c r="I83" s="112"/>
      <c r="J83" s="112"/>
    </row>
    <row r="84" spans="1:10" ht="15" customHeight="1">
      <c r="A84" s="119" t="s">
        <v>80</v>
      </c>
      <c r="B84" s="119"/>
      <c r="C84" s="119"/>
      <c r="D84" s="119"/>
      <c r="E84" s="119"/>
      <c r="F84" s="119"/>
      <c r="G84" s="119"/>
      <c r="H84" s="119"/>
      <c r="I84" s="119"/>
      <c r="J84" s="31">
        <f>J87+J30+J35+J36</f>
        <v>2279.1410000000001</v>
      </c>
    </row>
    <row r="85" spans="1:10" ht="14.65" customHeight="1">
      <c r="A85" s="120"/>
      <c r="B85" s="120"/>
      <c r="C85" s="120"/>
      <c r="D85" s="120"/>
      <c r="E85" s="120"/>
      <c r="F85" s="120"/>
      <c r="G85" s="120"/>
      <c r="H85" s="120"/>
      <c r="I85" s="120"/>
      <c r="J85" s="120"/>
    </row>
    <row r="86" spans="1:10" ht="14">
      <c r="A86" s="32" t="s">
        <v>81</v>
      </c>
      <c r="B86" s="113" t="s">
        <v>82</v>
      </c>
      <c r="C86" s="113"/>
      <c r="D86" s="113"/>
      <c r="E86" s="113"/>
      <c r="F86" s="113"/>
      <c r="G86" s="113"/>
      <c r="H86" s="113"/>
      <c r="I86" s="113"/>
      <c r="J86" s="32" t="s">
        <v>37</v>
      </c>
    </row>
    <row r="87" spans="1:10" ht="12.75" customHeight="1">
      <c r="A87" s="12" t="s">
        <v>5</v>
      </c>
      <c r="B87" s="109" t="s">
        <v>83</v>
      </c>
      <c r="C87" s="109"/>
      <c r="D87" s="109"/>
      <c r="E87" s="109"/>
      <c r="F87" s="109"/>
      <c r="G87" s="109"/>
      <c r="H87" s="109"/>
      <c r="I87" s="33">
        <f>12.1%-I36</f>
        <v>9.0749999999999997E-2</v>
      </c>
      <c r="J87" s="16">
        <f>ROUND(($J$30*I87),2)</f>
        <v>171.74</v>
      </c>
    </row>
    <row r="88" spans="1:10" ht="13">
      <c r="A88" s="12" t="s">
        <v>7</v>
      </c>
      <c r="B88" s="104" t="s">
        <v>131</v>
      </c>
      <c r="C88" s="104"/>
      <c r="D88" s="104"/>
      <c r="E88" s="104"/>
      <c r="F88" s="104"/>
      <c r="G88" s="104"/>
      <c r="H88" s="104"/>
      <c r="I88" s="104"/>
      <c r="J88" s="34">
        <f>J84/30*0.1/12</f>
        <v>0.63309472222222229</v>
      </c>
    </row>
    <row r="89" spans="1:10" ht="13">
      <c r="A89" s="12" t="s">
        <v>9</v>
      </c>
      <c r="B89" s="104" t="s">
        <v>84</v>
      </c>
      <c r="C89" s="104"/>
      <c r="D89" s="104"/>
      <c r="E89" s="104"/>
      <c r="F89" s="104"/>
      <c r="G89" s="104"/>
      <c r="H89" s="104"/>
      <c r="I89" s="104"/>
      <c r="J89" s="34">
        <f>J84/30*5/12*1.5%</f>
        <v>0.47482104166666661</v>
      </c>
    </row>
    <row r="90" spans="1:10" ht="13">
      <c r="A90" s="12" t="s">
        <v>12</v>
      </c>
      <c r="B90" s="104" t="s">
        <v>85</v>
      </c>
      <c r="C90" s="104"/>
      <c r="D90" s="104"/>
      <c r="E90" s="104"/>
      <c r="F90" s="104"/>
      <c r="G90" s="104"/>
      <c r="H90" s="104"/>
      <c r="I90" s="104"/>
      <c r="J90" s="13">
        <f>J84/30*15/12*0.78%</f>
        <v>0.74072082500000003</v>
      </c>
    </row>
    <row r="91" spans="1:10" ht="13">
      <c r="A91" s="12" t="s">
        <v>29</v>
      </c>
      <c r="B91" s="104" t="s">
        <v>86</v>
      </c>
      <c r="C91" s="104"/>
      <c r="D91" s="104"/>
      <c r="E91" s="104"/>
      <c r="F91" s="104"/>
      <c r="G91" s="104"/>
      <c r="H91" s="104"/>
      <c r="I91" s="104"/>
      <c r="J91" s="16">
        <f>(J30+J36)/12*4/12*1%</f>
        <v>0.54159750000000006</v>
      </c>
    </row>
    <row r="92" spans="1:10" ht="13">
      <c r="A92" s="35" t="s">
        <v>53</v>
      </c>
      <c r="B92" s="118" t="s">
        <v>87</v>
      </c>
      <c r="C92" s="118"/>
      <c r="D92" s="118"/>
      <c r="E92" s="118"/>
      <c r="F92" s="118"/>
      <c r="G92" s="118"/>
      <c r="H92" s="118"/>
      <c r="I92" s="118"/>
      <c r="J92" s="13">
        <f>J84/30*0.15/12</f>
        <v>0.94964208333333333</v>
      </c>
    </row>
    <row r="93" spans="1:10" ht="13">
      <c r="A93" s="105" t="s">
        <v>40</v>
      </c>
      <c r="B93" s="105"/>
      <c r="C93" s="105"/>
      <c r="D93" s="105"/>
      <c r="E93" s="105"/>
      <c r="F93" s="105"/>
      <c r="G93" s="105"/>
      <c r="H93" s="105"/>
      <c r="I93" s="105"/>
      <c r="J93" s="36">
        <f>SUM(J87:J92)</f>
        <v>175.07987617222224</v>
      </c>
    </row>
    <row r="94" spans="1:10" ht="14.65" customHeight="1">
      <c r="A94" s="12"/>
      <c r="B94" s="104"/>
      <c r="C94" s="104"/>
      <c r="D94" s="104"/>
      <c r="E94" s="104"/>
      <c r="F94" s="104"/>
      <c r="G94" s="104"/>
      <c r="H94" s="104"/>
      <c r="I94" s="104"/>
      <c r="J94" s="13"/>
    </row>
    <row r="95" spans="1:10" ht="13">
      <c r="A95" s="105" t="s">
        <v>40</v>
      </c>
      <c r="B95" s="105"/>
      <c r="C95" s="105"/>
      <c r="D95" s="105"/>
      <c r="E95" s="105"/>
      <c r="F95" s="105"/>
      <c r="G95" s="105"/>
      <c r="H95" s="105"/>
      <c r="I95" s="105"/>
      <c r="J95" s="14">
        <f>SUM(J93:J94)</f>
        <v>175.07987617222224</v>
      </c>
    </row>
    <row r="96" spans="1:10" ht="16.149999999999999" customHeight="1">
      <c r="A96" s="112" t="s">
        <v>88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14">
      <c r="A97" s="69" t="s">
        <v>89</v>
      </c>
      <c r="B97" s="113" t="s">
        <v>90</v>
      </c>
      <c r="C97" s="113"/>
      <c r="D97" s="113"/>
      <c r="E97" s="113"/>
      <c r="F97" s="113"/>
      <c r="G97" s="113"/>
      <c r="H97" s="113"/>
      <c r="I97" s="113"/>
      <c r="J97" s="37" t="s">
        <v>37</v>
      </c>
    </row>
    <row r="98" spans="1:10" ht="13">
      <c r="A98" s="8" t="s">
        <v>5</v>
      </c>
      <c r="B98" s="104" t="s">
        <v>91</v>
      </c>
      <c r="C98" s="104"/>
      <c r="D98" s="104"/>
      <c r="E98" s="104"/>
      <c r="F98" s="104"/>
      <c r="G98" s="104"/>
      <c r="H98" s="104"/>
      <c r="I98" s="104"/>
      <c r="J98" s="16">
        <v>0</v>
      </c>
    </row>
    <row r="99" spans="1:10" ht="13">
      <c r="A99" s="117" t="s">
        <v>40</v>
      </c>
      <c r="B99" s="117"/>
      <c r="C99" s="117"/>
      <c r="D99" s="117"/>
      <c r="E99" s="117"/>
      <c r="F99" s="117"/>
      <c r="G99" s="117"/>
      <c r="H99" s="117"/>
      <c r="I99" s="117"/>
      <c r="J99" s="16">
        <v>0</v>
      </c>
    </row>
    <row r="100" spans="1:10" ht="13">
      <c r="A100" s="12"/>
      <c r="B100" s="104"/>
      <c r="C100" s="104"/>
      <c r="D100" s="104"/>
      <c r="E100" s="104"/>
      <c r="F100" s="104"/>
      <c r="G100" s="104"/>
      <c r="H100" s="104"/>
      <c r="I100" s="104"/>
      <c r="J100" s="13"/>
    </row>
    <row r="101" spans="1:10" ht="13">
      <c r="A101" s="105" t="s">
        <v>40</v>
      </c>
      <c r="B101" s="105"/>
      <c r="C101" s="105"/>
      <c r="D101" s="105"/>
      <c r="E101" s="105"/>
      <c r="F101" s="105"/>
      <c r="G101" s="105"/>
      <c r="H101" s="105"/>
      <c r="I101" s="105"/>
      <c r="J101" s="14">
        <f>SUM(J99:J100)</f>
        <v>0</v>
      </c>
    </row>
    <row r="102" spans="1:10" ht="13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</row>
    <row r="103" spans="1:10" ht="16.149999999999999" customHeight="1">
      <c r="A103" s="112" t="s">
        <v>92</v>
      </c>
      <c r="B103" s="112"/>
      <c r="C103" s="112"/>
      <c r="D103" s="112"/>
      <c r="E103" s="112"/>
      <c r="F103" s="112"/>
      <c r="G103" s="112"/>
      <c r="H103" s="112"/>
      <c r="I103" s="112"/>
      <c r="J103" s="112"/>
    </row>
    <row r="104" spans="1:10" ht="16.149999999999999" customHeight="1">
      <c r="A104" s="68">
        <v>4</v>
      </c>
      <c r="B104" s="115" t="s">
        <v>93</v>
      </c>
      <c r="C104" s="115"/>
      <c r="D104" s="115"/>
      <c r="E104" s="115"/>
      <c r="F104" s="115"/>
      <c r="G104" s="115"/>
      <c r="H104" s="115"/>
      <c r="I104" s="115"/>
      <c r="J104" s="37" t="s">
        <v>37</v>
      </c>
    </row>
    <row r="105" spans="1:10" ht="14.65" customHeight="1">
      <c r="A105" s="1" t="s">
        <v>81</v>
      </c>
      <c r="B105" s="109" t="s">
        <v>94</v>
      </c>
      <c r="C105" s="109"/>
      <c r="D105" s="109"/>
      <c r="E105" s="109"/>
      <c r="F105" s="109"/>
      <c r="G105" s="109"/>
      <c r="H105" s="109"/>
      <c r="I105" s="109"/>
      <c r="J105" s="16">
        <f>J95</f>
        <v>175.07987617222224</v>
      </c>
    </row>
    <row r="106" spans="1:10" ht="14.65" customHeight="1">
      <c r="A106" s="1" t="s">
        <v>95</v>
      </c>
      <c r="B106" s="109" t="s">
        <v>96</v>
      </c>
      <c r="C106" s="109"/>
      <c r="D106" s="109"/>
      <c r="E106" s="109"/>
      <c r="F106" s="109"/>
      <c r="G106" s="109"/>
      <c r="H106" s="109"/>
      <c r="I106" s="109"/>
      <c r="J106" s="16">
        <f>J101</f>
        <v>0</v>
      </c>
    </row>
    <row r="107" spans="1:10" ht="14.65" customHeight="1">
      <c r="A107" s="116" t="s">
        <v>40</v>
      </c>
      <c r="B107" s="116"/>
      <c r="C107" s="116"/>
      <c r="D107" s="116"/>
      <c r="E107" s="116"/>
      <c r="F107" s="116"/>
      <c r="G107" s="116"/>
      <c r="H107" s="116"/>
      <c r="I107" s="116"/>
      <c r="J107" s="14">
        <f>SUM(J105+J106)</f>
        <v>175.07987617222224</v>
      </c>
    </row>
    <row r="108" spans="1:10" ht="13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</row>
    <row r="109" spans="1:10" ht="16.149999999999999" customHeight="1">
      <c r="A109" s="112" t="s">
        <v>97</v>
      </c>
      <c r="B109" s="112"/>
      <c r="C109" s="112"/>
      <c r="D109" s="112"/>
      <c r="E109" s="112"/>
      <c r="F109" s="112"/>
      <c r="G109" s="112"/>
      <c r="H109" s="112"/>
      <c r="I109" s="112"/>
      <c r="J109" s="112"/>
    </row>
    <row r="110" spans="1:10" ht="16.149999999999999" customHeight="1">
      <c r="A110" s="69">
        <v>5</v>
      </c>
      <c r="B110" s="113" t="s">
        <v>98</v>
      </c>
      <c r="C110" s="113"/>
      <c r="D110" s="113"/>
      <c r="E110" s="113"/>
      <c r="F110" s="113"/>
      <c r="G110" s="113"/>
      <c r="H110" s="113"/>
      <c r="I110" s="113"/>
      <c r="J110" s="69" t="s">
        <v>37</v>
      </c>
    </row>
    <row r="111" spans="1:10" ht="13">
      <c r="A111" s="8" t="s">
        <v>5</v>
      </c>
      <c r="B111" s="104" t="s">
        <v>185</v>
      </c>
      <c r="C111" s="104"/>
      <c r="D111" s="104"/>
      <c r="E111" s="104"/>
      <c r="F111" s="104"/>
      <c r="G111" s="104"/>
      <c r="H111" s="104"/>
      <c r="I111" s="104"/>
      <c r="J111" s="16">
        <f>Descritivo!E48</f>
        <v>91.369065656565652</v>
      </c>
    </row>
    <row r="112" spans="1:10" ht="13">
      <c r="A112" s="8" t="s">
        <v>7</v>
      </c>
      <c r="B112" s="104" t="s">
        <v>99</v>
      </c>
      <c r="C112" s="104"/>
      <c r="D112" s="104"/>
      <c r="E112" s="104"/>
      <c r="F112" s="104"/>
      <c r="G112" s="104"/>
      <c r="H112" s="104"/>
      <c r="I112" s="104"/>
      <c r="J112" s="27">
        <f>Descritivo!D93</f>
        <v>116.16919191919192</v>
      </c>
    </row>
    <row r="113" spans="1:10" ht="13">
      <c r="A113" s="8" t="s">
        <v>9</v>
      </c>
      <c r="B113" s="104" t="s">
        <v>139</v>
      </c>
      <c r="C113" s="104"/>
      <c r="D113" s="104"/>
      <c r="E113" s="104"/>
      <c r="F113" s="104"/>
      <c r="G113" s="104"/>
      <c r="H113" s="104"/>
      <c r="I113" s="104"/>
      <c r="J113" s="27">
        <f>Descritivo!C101</f>
        <v>36.363636363636367</v>
      </c>
    </row>
    <row r="114" spans="1:10" ht="13">
      <c r="A114" s="8" t="s">
        <v>12</v>
      </c>
      <c r="B114" s="104" t="s">
        <v>100</v>
      </c>
      <c r="C114" s="104"/>
      <c r="D114" s="104"/>
      <c r="E114" s="104"/>
      <c r="F114" s="104"/>
      <c r="G114" s="104"/>
      <c r="H114" s="104"/>
      <c r="I114" s="104"/>
      <c r="J114" s="27"/>
    </row>
    <row r="115" spans="1:10" ht="13">
      <c r="A115" s="105" t="s">
        <v>32</v>
      </c>
      <c r="B115" s="105"/>
      <c r="C115" s="105"/>
      <c r="D115" s="105"/>
      <c r="E115" s="105"/>
      <c r="F115" s="105"/>
      <c r="G115" s="105"/>
      <c r="H115" s="105"/>
      <c r="I115" s="105"/>
      <c r="J115" s="38">
        <f>SUM(J111:J114)</f>
        <v>243.90189393939394</v>
      </c>
    </row>
    <row r="116" spans="1:10" ht="13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</row>
    <row r="117" spans="1:10" ht="16.149999999999999" customHeight="1">
      <c r="A117" s="112" t="s">
        <v>101</v>
      </c>
      <c r="B117" s="112"/>
      <c r="C117" s="112"/>
      <c r="D117" s="112"/>
      <c r="E117" s="112"/>
      <c r="F117" s="112"/>
      <c r="G117" s="112"/>
      <c r="H117" s="112"/>
      <c r="I117" s="112"/>
      <c r="J117" s="112"/>
    </row>
    <row r="118" spans="1:10" ht="28">
      <c r="A118" s="69">
        <v>6</v>
      </c>
      <c r="B118" s="113" t="s">
        <v>102</v>
      </c>
      <c r="C118" s="113"/>
      <c r="D118" s="113"/>
      <c r="E118" s="113"/>
      <c r="F118" s="113"/>
      <c r="G118" s="113"/>
      <c r="H118" s="113"/>
      <c r="I118" s="68" t="s">
        <v>44</v>
      </c>
      <c r="J118" s="39" t="s">
        <v>103</v>
      </c>
    </row>
    <row r="119" spans="1:10" ht="12.75" customHeight="1">
      <c r="A119" s="111" t="s">
        <v>104</v>
      </c>
      <c r="B119" s="111"/>
      <c r="C119" s="111"/>
      <c r="D119" s="111"/>
      <c r="E119" s="111"/>
      <c r="F119" s="111"/>
      <c r="G119" s="111"/>
      <c r="H119" s="111"/>
      <c r="I119" s="40" t="s">
        <v>64</v>
      </c>
      <c r="J119" s="41">
        <f>SUM(J30+J71+J81+J107+J115)</f>
        <v>3840.742701639394</v>
      </c>
    </row>
    <row r="120" spans="1:10" ht="15.5">
      <c r="A120" s="42" t="s">
        <v>5</v>
      </c>
      <c r="B120" s="110" t="s">
        <v>105</v>
      </c>
      <c r="C120" s="110"/>
      <c r="D120" s="110"/>
      <c r="E120" s="110"/>
      <c r="F120" s="110"/>
      <c r="G120" s="110"/>
      <c r="H120" s="110"/>
      <c r="I120" s="15">
        <v>0.1091</v>
      </c>
      <c r="J120" s="16">
        <f>ROUND(I120*J119,2)</f>
        <v>419.03</v>
      </c>
    </row>
    <row r="121" spans="1:10" ht="12.75" customHeight="1">
      <c r="A121" s="111" t="s">
        <v>106</v>
      </c>
      <c r="B121" s="111"/>
      <c r="C121" s="111"/>
      <c r="D121" s="111"/>
      <c r="E121" s="111"/>
      <c r="F121" s="111"/>
      <c r="G121" s="111"/>
      <c r="H121" s="111"/>
      <c r="I121" s="43" t="s">
        <v>64</v>
      </c>
      <c r="J121" s="41">
        <f>SUM(J30+J71+J81+J107+J115+J120)</f>
        <v>4259.7727016393937</v>
      </c>
    </row>
    <row r="122" spans="1:10" ht="15.5">
      <c r="A122" s="42" t="s">
        <v>7</v>
      </c>
      <c r="B122" s="110" t="s">
        <v>107</v>
      </c>
      <c r="C122" s="110"/>
      <c r="D122" s="110"/>
      <c r="E122" s="110"/>
      <c r="F122" s="110"/>
      <c r="G122" s="110"/>
      <c r="H122" s="110"/>
      <c r="I122" s="20">
        <v>0.15109700000000001</v>
      </c>
      <c r="J122" s="16">
        <f>ROUND(I122*J121,2)</f>
        <v>643.64</v>
      </c>
    </row>
    <row r="123" spans="1:10" ht="12.75" customHeight="1">
      <c r="A123" s="111" t="s">
        <v>108</v>
      </c>
      <c r="B123" s="111"/>
      <c r="C123" s="111"/>
      <c r="D123" s="111"/>
      <c r="E123" s="111"/>
      <c r="F123" s="111"/>
      <c r="G123" s="111"/>
      <c r="H123" s="111"/>
      <c r="I123" s="43" t="s">
        <v>64</v>
      </c>
      <c r="J123" s="41">
        <f>SUM(J30+J71+J81+J107+J115+J120+J122)</f>
        <v>4903.4127016393941</v>
      </c>
    </row>
    <row r="124" spans="1:10" ht="15.5">
      <c r="A124" s="42" t="s">
        <v>9</v>
      </c>
      <c r="B124" s="110" t="s">
        <v>109</v>
      </c>
      <c r="C124" s="110"/>
      <c r="D124" s="110"/>
      <c r="E124" s="110"/>
      <c r="F124" s="110"/>
      <c r="G124" s="110"/>
      <c r="H124" s="110"/>
      <c r="I124" s="9" t="s">
        <v>64</v>
      </c>
      <c r="J124" s="51" t="s">
        <v>64</v>
      </c>
    </row>
    <row r="125" spans="1:10" ht="13">
      <c r="A125" s="8"/>
      <c r="B125" s="104" t="s">
        <v>110</v>
      </c>
      <c r="C125" s="104"/>
      <c r="D125" s="104"/>
      <c r="E125" s="104"/>
      <c r="F125" s="104"/>
      <c r="G125" s="104"/>
      <c r="H125" s="104"/>
      <c r="I125" s="9" t="s">
        <v>64</v>
      </c>
      <c r="J125" s="51" t="s">
        <v>64</v>
      </c>
    </row>
    <row r="126" spans="1:10" ht="13">
      <c r="A126" s="8"/>
      <c r="B126" s="104" t="s">
        <v>111</v>
      </c>
      <c r="C126" s="104"/>
      <c r="D126" s="104"/>
      <c r="E126" s="104"/>
      <c r="F126" s="104"/>
      <c r="G126" s="104"/>
      <c r="H126" s="104"/>
      <c r="I126" s="44">
        <v>0.03</v>
      </c>
      <c r="J126" s="16">
        <f>ROUND(($J$123/(1-$I$135))*I126,2)</f>
        <v>161.03</v>
      </c>
    </row>
    <row r="127" spans="1:10" ht="13">
      <c r="A127" s="8"/>
      <c r="B127" s="104" t="s">
        <v>112</v>
      </c>
      <c r="C127" s="104"/>
      <c r="D127" s="104"/>
      <c r="E127" s="104"/>
      <c r="F127" s="104"/>
      <c r="G127" s="104"/>
      <c r="H127" s="104"/>
      <c r="I127" s="44">
        <v>6.4999999999999997E-3</v>
      </c>
      <c r="J127" s="16">
        <f>ROUND(($J$123/(1-$I$135))*I127,2)</f>
        <v>34.89</v>
      </c>
    </row>
    <row r="128" spans="1:10" ht="27.65" customHeight="1">
      <c r="A128" s="8"/>
      <c r="B128" s="109" t="s">
        <v>113</v>
      </c>
      <c r="C128" s="109"/>
      <c r="D128" s="109"/>
      <c r="E128" s="109"/>
      <c r="F128" s="109"/>
      <c r="G128" s="109"/>
      <c r="H128" s="109"/>
      <c r="I128" s="45" t="s">
        <v>64</v>
      </c>
      <c r="J128" s="51" t="s">
        <v>64</v>
      </c>
    </row>
    <row r="129" spans="1:10" ht="27.65" customHeight="1">
      <c r="A129" s="8"/>
      <c r="B129" s="109" t="s">
        <v>114</v>
      </c>
      <c r="C129" s="109"/>
      <c r="D129" s="109"/>
      <c r="E129" s="109"/>
      <c r="F129" s="109"/>
      <c r="G129" s="109"/>
      <c r="H129" s="109"/>
      <c r="I129" s="45" t="s">
        <v>64</v>
      </c>
      <c r="J129" s="51" t="s">
        <v>64</v>
      </c>
    </row>
    <row r="130" spans="1:10" ht="13">
      <c r="A130" s="8"/>
      <c r="B130" s="104" t="s">
        <v>115</v>
      </c>
      <c r="C130" s="104"/>
      <c r="D130" s="104"/>
      <c r="E130" s="104"/>
      <c r="F130" s="104"/>
      <c r="G130" s="104"/>
      <c r="H130" s="104"/>
      <c r="I130" s="45" t="s">
        <v>64</v>
      </c>
      <c r="J130" s="51" t="s">
        <v>64</v>
      </c>
    </row>
    <row r="131" spans="1:10" ht="13">
      <c r="A131" s="8"/>
      <c r="B131" s="104" t="s">
        <v>116</v>
      </c>
      <c r="C131" s="104"/>
      <c r="D131" s="104"/>
      <c r="E131" s="104"/>
      <c r="F131" s="104"/>
      <c r="G131" s="104"/>
      <c r="H131" s="104"/>
      <c r="I131" s="45" t="s">
        <v>64</v>
      </c>
      <c r="J131" s="51" t="s">
        <v>64</v>
      </c>
    </row>
    <row r="132" spans="1:10" ht="13">
      <c r="A132" s="8"/>
      <c r="B132" s="104" t="s">
        <v>134</v>
      </c>
      <c r="C132" s="104"/>
      <c r="D132" s="104"/>
      <c r="E132" s="104"/>
      <c r="F132" s="104"/>
      <c r="G132" s="104"/>
      <c r="H132" s="104"/>
      <c r="I132" s="44">
        <v>0.05</v>
      </c>
      <c r="J132" s="16">
        <f>ROUND(($J$123/(1-$I$135))*I132,2)</f>
        <v>268.39</v>
      </c>
    </row>
    <row r="133" spans="1:10" ht="13">
      <c r="A133" s="105" t="s">
        <v>40</v>
      </c>
      <c r="B133" s="105"/>
      <c r="C133" s="105"/>
      <c r="D133" s="105"/>
      <c r="E133" s="105"/>
      <c r="F133" s="105"/>
      <c r="G133" s="105"/>
      <c r="H133" s="105"/>
      <c r="I133" s="105"/>
      <c r="J133" s="14">
        <f>SUM(J120+J122+J126+J127+J132)</f>
        <v>1526.98</v>
      </c>
    </row>
    <row r="134" spans="1:10" ht="13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</row>
    <row r="135" spans="1:10" ht="14.65" customHeight="1">
      <c r="A135" s="106" t="s">
        <v>117</v>
      </c>
      <c r="B135" s="106"/>
      <c r="C135" s="106"/>
      <c r="D135" s="106"/>
      <c r="E135" s="106"/>
      <c r="F135" s="106"/>
      <c r="G135" s="106"/>
      <c r="H135" s="106"/>
      <c r="I135" s="46">
        <f>SUM(I126:I132)</f>
        <v>8.6499999999999994E-2</v>
      </c>
      <c r="J135" s="41">
        <f>SUM(J126:J132)</f>
        <v>464.31</v>
      </c>
    </row>
    <row r="136" spans="1:10">
      <c r="A136" s="107" t="s">
        <v>118</v>
      </c>
      <c r="B136" s="107"/>
      <c r="C136" s="107"/>
      <c r="D136" s="108" t="s">
        <v>119</v>
      </c>
      <c r="E136" s="108"/>
      <c r="F136" s="108"/>
      <c r="G136" s="108"/>
      <c r="H136" s="108"/>
      <c r="I136" s="108"/>
      <c r="J136" s="108"/>
    </row>
    <row r="137" spans="1:10">
      <c r="A137" s="107"/>
      <c r="B137" s="107"/>
      <c r="C137" s="107"/>
      <c r="D137" s="108" t="s">
        <v>120</v>
      </c>
      <c r="E137" s="108"/>
      <c r="F137" s="108"/>
      <c r="G137" s="108"/>
      <c r="H137" s="108"/>
      <c r="I137" s="108"/>
      <c r="J137" s="108"/>
    </row>
    <row r="138" spans="1:10">
      <c r="A138" s="107"/>
      <c r="B138" s="107"/>
      <c r="C138" s="107"/>
      <c r="D138" s="108" t="s">
        <v>121</v>
      </c>
      <c r="E138" s="108"/>
      <c r="F138" s="108"/>
      <c r="G138" s="108"/>
      <c r="H138" s="108"/>
      <c r="I138" s="108"/>
      <c r="J138" s="108"/>
    </row>
    <row r="139" spans="1:10" ht="13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</row>
    <row r="140" spans="1:10" ht="46" customHeight="1">
      <c r="A140" s="102" t="s">
        <v>122</v>
      </c>
      <c r="B140" s="102"/>
      <c r="C140" s="102"/>
      <c r="D140" s="102"/>
      <c r="E140" s="102"/>
      <c r="F140" s="102"/>
      <c r="G140" s="102"/>
      <c r="H140" s="102"/>
      <c r="I140" s="102"/>
      <c r="J140" s="102"/>
    </row>
    <row r="141" spans="1:10" ht="14.65" customHeight="1">
      <c r="A141" s="103" t="s">
        <v>123</v>
      </c>
      <c r="B141" s="103"/>
      <c r="C141" s="103"/>
      <c r="D141" s="103"/>
      <c r="E141" s="103"/>
      <c r="F141" s="103"/>
      <c r="G141" s="103"/>
      <c r="H141" s="103"/>
      <c r="I141" s="103"/>
      <c r="J141" s="47" t="s">
        <v>37</v>
      </c>
    </row>
    <row r="142" spans="1:10" ht="14.65" customHeight="1">
      <c r="A142" s="48" t="s">
        <v>5</v>
      </c>
      <c r="B142" s="99" t="s">
        <v>124</v>
      </c>
      <c r="C142" s="99"/>
      <c r="D142" s="99"/>
      <c r="E142" s="99"/>
      <c r="F142" s="99"/>
      <c r="G142" s="99"/>
      <c r="H142" s="99"/>
      <c r="I142" s="99"/>
      <c r="J142" s="27">
        <f>J30</f>
        <v>1892.501</v>
      </c>
    </row>
    <row r="143" spans="1:10" ht="14.65" customHeight="1">
      <c r="A143" s="48" t="s">
        <v>7</v>
      </c>
      <c r="B143" s="99" t="s">
        <v>33</v>
      </c>
      <c r="C143" s="99"/>
      <c r="D143" s="99"/>
      <c r="E143" s="99"/>
      <c r="F143" s="99"/>
      <c r="G143" s="99"/>
      <c r="H143" s="99"/>
      <c r="I143" s="99"/>
      <c r="J143" s="27">
        <f>J71</f>
        <v>1449.0400000000002</v>
      </c>
    </row>
    <row r="144" spans="1:10" ht="14.65" customHeight="1">
      <c r="A144" s="48" t="s">
        <v>9</v>
      </c>
      <c r="B144" s="99" t="s">
        <v>125</v>
      </c>
      <c r="C144" s="99"/>
      <c r="D144" s="99"/>
      <c r="E144" s="99"/>
      <c r="F144" s="99"/>
      <c r="G144" s="99"/>
      <c r="H144" s="99"/>
      <c r="I144" s="99"/>
      <c r="J144" s="27">
        <f>J81</f>
        <v>80.219931527777774</v>
      </c>
    </row>
    <row r="145" spans="1:12" ht="14.65" customHeight="1">
      <c r="A145" s="48" t="s">
        <v>12</v>
      </c>
      <c r="B145" s="99" t="s">
        <v>126</v>
      </c>
      <c r="C145" s="99"/>
      <c r="D145" s="99"/>
      <c r="E145" s="99"/>
      <c r="F145" s="99"/>
      <c r="G145" s="99"/>
      <c r="H145" s="99"/>
      <c r="I145" s="99"/>
      <c r="J145" s="27">
        <f>J107</f>
        <v>175.07987617222224</v>
      </c>
    </row>
    <row r="146" spans="1:12" ht="14.65" customHeight="1">
      <c r="A146" s="48" t="s">
        <v>29</v>
      </c>
      <c r="B146" s="99" t="s">
        <v>127</v>
      </c>
      <c r="C146" s="99"/>
      <c r="D146" s="99"/>
      <c r="E146" s="99"/>
      <c r="F146" s="99"/>
      <c r="G146" s="99"/>
      <c r="H146" s="99"/>
      <c r="I146" s="99"/>
      <c r="J146" s="27">
        <f>J115</f>
        <v>243.90189393939394</v>
      </c>
    </row>
    <row r="147" spans="1:12" ht="14.65" customHeight="1">
      <c r="A147" s="100" t="s">
        <v>128</v>
      </c>
      <c r="B147" s="100"/>
      <c r="C147" s="100"/>
      <c r="D147" s="100"/>
      <c r="E147" s="100"/>
      <c r="F147" s="100"/>
      <c r="G147" s="100"/>
      <c r="H147" s="100"/>
      <c r="I147" s="100"/>
      <c r="J147" s="38">
        <f>SUM(J142:J146)</f>
        <v>3840.742701639394</v>
      </c>
    </row>
    <row r="148" spans="1:12" ht="14.65" customHeight="1">
      <c r="A148" s="48" t="s">
        <v>53</v>
      </c>
      <c r="B148" s="99" t="s">
        <v>129</v>
      </c>
      <c r="C148" s="99"/>
      <c r="D148" s="99"/>
      <c r="E148" s="99"/>
      <c r="F148" s="99"/>
      <c r="G148" s="99"/>
      <c r="H148" s="99"/>
      <c r="I148" s="99"/>
      <c r="J148" s="27">
        <f>J133</f>
        <v>1526.98</v>
      </c>
    </row>
    <row r="149" spans="1:12" ht="14.65" customHeight="1">
      <c r="A149" s="100" t="s">
        <v>130</v>
      </c>
      <c r="B149" s="100"/>
      <c r="C149" s="100"/>
      <c r="D149" s="100"/>
      <c r="E149" s="100"/>
      <c r="F149" s="100"/>
      <c r="G149" s="100"/>
      <c r="H149" s="100"/>
      <c r="I149" s="100"/>
      <c r="J149" s="38">
        <f>SUM(J147:J148)</f>
        <v>5367.7227016393936</v>
      </c>
    </row>
    <row r="150" spans="1:12" ht="27.5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B60:H60"/>
    <mergeCell ref="B61:I61"/>
    <mergeCell ref="B62:I62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A1:J1"/>
    <mergeCell ref="A2:J2"/>
    <mergeCell ref="A3:G3"/>
    <mergeCell ref="H3:J3"/>
    <mergeCell ref="A4:G4"/>
    <mergeCell ref="H4:J4"/>
    <mergeCell ref="B9:G9"/>
    <mergeCell ref="H9:J9"/>
    <mergeCell ref="B10:G10"/>
    <mergeCell ref="H10:J10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2D6BA-3498-496F-9E40-AF0F3BD28CE4}">
  <sheetPr>
    <tabColor rgb="FF0070C0"/>
  </sheetPr>
  <dimension ref="A1:Q172"/>
  <sheetViews>
    <sheetView showGridLines="0" view="pageBreakPreview" topLeftCell="A37" zoomScaleNormal="100" zoomScaleSheetLayoutView="100" zoomScalePageLayoutView="95" workbookViewId="0">
      <selection activeCell="J64" sqref="J64"/>
    </sheetView>
  </sheetViews>
  <sheetFormatPr defaultRowHeight="12.5"/>
  <cols>
    <col min="1" max="9" width="8.7265625" customWidth="1"/>
    <col min="10" max="10" width="15.453125" customWidth="1"/>
    <col min="11" max="11" width="17.453125" customWidth="1"/>
    <col min="12" max="12" width="17" customWidth="1"/>
    <col min="13" max="16" width="8.7265625" customWidth="1"/>
    <col min="17" max="17" width="10.81640625" customWidth="1"/>
    <col min="18" max="1025" width="8.7265625" customWidth="1"/>
  </cols>
  <sheetData>
    <row r="1" spans="1:12" ht="24.25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2" ht="46.5" customHeight="1">
      <c r="A2" s="137" t="s">
        <v>296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2" ht="14.65" customHeight="1">
      <c r="A3" s="109" t="s">
        <v>1</v>
      </c>
      <c r="B3" s="109"/>
      <c r="C3" s="109"/>
      <c r="D3" s="109"/>
      <c r="E3" s="109"/>
      <c r="F3" s="109"/>
      <c r="G3" s="109"/>
      <c r="H3" s="138" t="s">
        <v>145</v>
      </c>
      <c r="I3" s="139"/>
      <c r="J3" s="139"/>
    </row>
    <row r="4" spans="1:12" ht="14.65" customHeight="1">
      <c r="A4" s="109" t="s">
        <v>2</v>
      </c>
      <c r="B4" s="109"/>
      <c r="C4" s="109"/>
      <c r="D4" s="109"/>
      <c r="E4" s="109"/>
      <c r="F4" s="109"/>
      <c r="G4" s="109"/>
      <c r="H4" s="140" t="s">
        <v>144</v>
      </c>
      <c r="I4" s="139"/>
      <c r="J4" s="139"/>
    </row>
    <row r="5" spans="1:12" ht="14.65" customHeight="1">
      <c r="A5" s="109" t="s">
        <v>3</v>
      </c>
      <c r="B5" s="109"/>
      <c r="C5" s="109"/>
      <c r="D5" s="109"/>
      <c r="E5" s="109"/>
      <c r="F5" s="109"/>
      <c r="G5" s="109"/>
      <c r="H5" s="109"/>
      <c r="I5" s="109"/>
      <c r="J5" s="109"/>
    </row>
    <row r="6" spans="1:12" ht="16.149999999999999" customHeight="1">
      <c r="A6" s="142" t="s">
        <v>4</v>
      </c>
      <c r="B6" s="142"/>
      <c r="C6" s="142"/>
      <c r="D6" s="142"/>
      <c r="E6" s="142"/>
      <c r="F6" s="142"/>
      <c r="G6" s="142"/>
      <c r="H6" s="142"/>
      <c r="I6" s="142"/>
      <c r="J6" s="142"/>
    </row>
    <row r="7" spans="1:12" ht="14.65" customHeight="1">
      <c r="A7" s="1" t="s">
        <v>5</v>
      </c>
      <c r="B7" s="109" t="s">
        <v>6</v>
      </c>
      <c r="C7" s="109"/>
      <c r="D7" s="109"/>
      <c r="E7" s="109"/>
      <c r="F7" s="109"/>
      <c r="G7" s="109"/>
      <c r="H7" s="141">
        <v>44029</v>
      </c>
      <c r="I7" s="141"/>
      <c r="J7" s="141"/>
    </row>
    <row r="8" spans="1:12" ht="14.65" customHeight="1">
      <c r="A8" s="1" t="s">
        <v>7</v>
      </c>
      <c r="B8" s="109" t="s">
        <v>8</v>
      </c>
      <c r="C8" s="109"/>
      <c r="D8" s="109"/>
      <c r="E8" s="109"/>
      <c r="F8" s="109"/>
      <c r="G8" s="109"/>
      <c r="H8" s="141" t="s">
        <v>140</v>
      </c>
      <c r="I8" s="141"/>
      <c r="J8" s="141"/>
    </row>
    <row r="9" spans="1:12" ht="39" customHeight="1">
      <c r="A9" s="1" t="s">
        <v>9</v>
      </c>
      <c r="B9" s="109" t="s">
        <v>10</v>
      </c>
      <c r="C9" s="109"/>
      <c r="D9" s="109"/>
      <c r="E9" s="109"/>
      <c r="F9" s="109"/>
      <c r="G9" s="109"/>
      <c r="H9" s="141" t="s">
        <v>11</v>
      </c>
      <c r="I9" s="141"/>
      <c r="J9" s="141"/>
      <c r="L9" s="55"/>
    </row>
    <row r="10" spans="1:12" ht="14.65" customHeight="1">
      <c r="A10" s="1" t="s">
        <v>12</v>
      </c>
      <c r="B10" s="109" t="s">
        <v>13</v>
      </c>
      <c r="C10" s="109"/>
      <c r="D10" s="109"/>
      <c r="E10" s="109"/>
      <c r="F10" s="109"/>
      <c r="G10" s="109"/>
      <c r="H10" s="139">
        <v>12</v>
      </c>
      <c r="I10" s="139"/>
      <c r="J10" s="139"/>
    </row>
    <row r="11" spans="1:12" ht="13">
      <c r="A11" s="101"/>
      <c r="B11" s="101"/>
      <c r="C11" s="101"/>
      <c r="D11" s="101"/>
      <c r="E11" s="101"/>
      <c r="F11" s="101"/>
      <c r="G11" s="101"/>
      <c r="H11" s="101"/>
      <c r="I11" s="101"/>
      <c r="J11" s="101"/>
    </row>
    <row r="12" spans="1:12" ht="48.75" customHeight="1">
      <c r="A12" s="132" t="s">
        <v>14</v>
      </c>
      <c r="B12" s="132"/>
      <c r="C12" s="132"/>
      <c r="D12" s="132"/>
      <c r="E12" s="132"/>
      <c r="F12" s="132"/>
      <c r="G12" s="132"/>
      <c r="H12" s="132"/>
      <c r="I12" s="132"/>
      <c r="J12" s="132"/>
      <c r="L12" s="55"/>
    </row>
    <row r="13" spans="1:12" ht="13">
      <c r="A13" s="101"/>
      <c r="B13" s="101"/>
      <c r="C13" s="101"/>
      <c r="D13" s="101"/>
      <c r="E13" s="101"/>
      <c r="F13" s="101"/>
      <c r="G13" s="101"/>
      <c r="H13" s="101"/>
      <c r="I13" s="101"/>
      <c r="J13" s="101"/>
    </row>
    <row r="14" spans="1:12" ht="16.149999999999999" customHeight="1">
      <c r="A14" s="115" t="s">
        <v>15</v>
      </c>
      <c r="B14" s="115"/>
      <c r="C14" s="115"/>
      <c r="D14" s="115"/>
      <c r="E14" s="115"/>
      <c r="F14" s="115"/>
      <c r="G14" s="115"/>
      <c r="H14" s="115"/>
      <c r="I14" s="115"/>
      <c r="J14" s="115"/>
      <c r="L14" s="55"/>
    </row>
    <row r="15" spans="1:12" ht="16.149999999999999" customHeight="1">
      <c r="A15" s="1">
        <v>1</v>
      </c>
      <c r="B15" s="109" t="s">
        <v>16</v>
      </c>
      <c r="C15" s="109"/>
      <c r="D15" s="109"/>
      <c r="E15" s="109"/>
      <c r="F15" s="109"/>
      <c r="G15" s="109"/>
      <c r="H15" s="134" t="s">
        <v>17</v>
      </c>
      <c r="I15" s="134"/>
      <c r="J15" s="134"/>
    </row>
    <row r="16" spans="1:12" ht="16.149999999999999" customHeight="1">
      <c r="A16" s="1">
        <v>2</v>
      </c>
      <c r="B16" s="109" t="s">
        <v>18</v>
      </c>
      <c r="C16" s="109"/>
      <c r="D16" s="109"/>
      <c r="E16" s="109"/>
      <c r="F16" s="109"/>
      <c r="G16" s="109"/>
      <c r="H16" s="134">
        <v>9511</v>
      </c>
      <c r="I16" s="134"/>
      <c r="J16" s="134"/>
    </row>
    <row r="17" spans="1:17" ht="16.149999999999999" customHeight="1">
      <c r="A17" s="1">
        <v>3</v>
      </c>
      <c r="B17" s="109" t="s">
        <v>19</v>
      </c>
      <c r="C17" s="109"/>
      <c r="D17" s="109"/>
      <c r="E17" s="109"/>
      <c r="F17" s="109"/>
      <c r="G17" s="109"/>
      <c r="H17" s="143">
        <f>1601.35*1.25</f>
        <v>2001.6875</v>
      </c>
      <c r="I17" s="143"/>
      <c r="J17" s="143"/>
    </row>
    <row r="18" spans="1:17" ht="16.149999999999999" customHeight="1">
      <c r="A18" s="1">
        <v>4</v>
      </c>
      <c r="B18" s="109" t="s">
        <v>20</v>
      </c>
      <c r="C18" s="109"/>
      <c r="D18" s="109"/>
      <c r="E18" s="109"/>
      <c r="F18" s="109"/>
      <c r="G18" s="109"/>
      <c r="H18" s="134" t="s">
        <v>170</v>
      </c>
      <c r="I18" s="134"/>
      <c r="J18" s="134"/>
    </row>
    <row r="19" spans="1:17" ht="16.149999999999999" customHeight="1">
      <c r="A19" s="1">
        <v>5</v>
      </c>
      <c r="B19" s="109" t="s">
        <v>21</v>
      </c>
      <c r="C19" s="109"/>
      <c r="D19" s="109"/>
      <c r="E19" s="109"/>
      <c r="F19" s="109"/>
      <c r="G19" s="109"/>
      <c r="H19" s="133" t="s">
        <v>141</v>
      </c>
      <c r="I19" s="133"/>
      <c r="J19" s="133"/>
    </row>
    <row r="20" spans="1:17" ht="16.149999999999999" customHeight="1">
      <c r="A20" s="1">
        <v>5</v>
      </c>
      <c r="B20" s="109" t="s">
        <v>133</v>
      </c>
      <c r="C20" s="109"/>
      <c r="D20" s="109"/>
      <c r="E20" s="109"/>
      <c r="F20" s="109"/>
      <c r="G20" s="109"/>
      <c r="H20" s="131">
        <v>20</v>
      </c>
      <c r="I20" s="131"/>
      <c r="J20" s="131"/>
    </row>
    <row r="21" spans="1:17" ht="13">
      <c r="A21" s="101"/>
      <c r="B21" s="101"/>
      <c r="C21" s="101"/>
      <c r="D21" s="101"/>
      <c r="E21" s="101"/>
      <c r="F21" s="101"/>
      <c r="G21" s="101"/>
      <c r="H21" s="101"/>
      <c r="I21" s="101"/>
      <c r="J21" s="101"/>
    </row>
    <row r="22" spans="1:17" ht="20.65" customHeight="1">
      <c r="A22" s="132" t="s">
        <v>22</v>
      </c>
      <c r="B22" s="132"/>
      <c r="C22" s="132"/>
      <c r="D22" s="132"/>
      <c r="E22" s="132"/>
      <c r="F22" s="132"/>
      <c r="G22" s="132"/>
      <c r="H22" s="132"/>
      <c r="I22" s="132"/>
      <c r="J22" s="132"/>
    </row>
    <row r="23" spans="1:17" ht="30.4" customHeight="1">
      <c r="A23" s="64">
        <v>1</v>
      </c>
      <c r="B23" s="115" t="s">
        <v>23</v>
      </c>
      <c r="C23" s="115"/>
      <c r="D23" s="115"/>
      <c r="E23" s="115"/>
      <c r="F23" s="115"/>
      <c r="G23" s="115"/>
      <c r="H23" s="115" t="s">
        <v>24</v>
      </c>
      <c r="I23" s="115"/>
      <c r="J23" s="64" t="s">
        <v>25</v>
      </c>
    </row>
    <row r="24" spans="1:17" ht="12.75" customHeight="1">
      <c r="A24" s="1" t="s">
        <v>5</v>
      </c>
      <c r="B24" s="109" t="s">
        <v>143</v>
      </c>
      <c r="C24" s="109"/>
      <c r="D24" s="109"/>
      <c r="E24" s="109"/>
      <c r="F24" s="109"/>
      <c r="G24" s="109"/>
      <c r="H24" s="109"/>
      <c r="I24" s="109"/>
      <c r="J24" s="2">
        <f>ROUND(H17/44*H20,2)</f>
        <v>909.86</v>
      </c>
    </row>
    <row r="25" spans="1:17" ht="12.75" customHeight="1">
      <c r="A25" s="66" t="s">
        <v>7</v>
      </c>
      <c r="B25" s="109" t="s">
        <v>26</v>
      </c>
      <c r="C25" s="109"/>
      <c r="D25" s="109"/>
      <c r="E25" s="109"/>
      <c r="F25" s="109"/>
      <c r="G25" s="109"/>
      <c r="H25" s="109"/>
      <c r="I25" s="3"/>
      <c r="J25" s="2"/>
      <c r="K25" s="57"/>
    </row>
    <row r="26" spans="1:17" ht="12.75" customHeight="1">
      <c r="A26" s="66" t="s">
        <v>9</v>
      </c>
      <c r="B26" s="109" t="s">
        <v>27</v>
      </c>
      <c r="C26" s="109"/>
      <c r="D26" s="109"/>
      <c r="E26" s="109"/>
      <c r="F26" s="109"/>
      <c r="G26" s="109"/>
      <c r="H26" s="109"/>
      <c r="I26" s="109"/>
      <c r="J26" s="2"/>
    </row>
    <row r="27" spans="1:17" ht="12.75" customHeight="1">
      <c r="A27" s="66" t="s">
        <v>12</v>
      </c>
      <c r="B27" s="109" t="s">
        <v>28</v>
      </c>
      <c r="C27" s="109"/>
      <c r="D27" s="109"/>
      <c r="E27" s="109"/>
      <c r="F27" s="109"/>
      <c r="G27" s="109"/>
      <c r="H27" s="109"/>
      <c r="I27" s="109"/>
      <c r="J27" s="2"/>
    </row>
    <row r="28" spans="1:17" ht="12.75" customHeight="1">
      <c r="A28" s="66" t="s">
        <v>29</v>
      </c>
      <c r="B28" s="109" t="s">
        <v>30</v>
      </c>
      <c r="C28" s="109"/>
      <c r="D28" s="109"/>
      <c r="E28" s="109"/>
      <c r="F28" s="109"/>
      <c r="G28" s="109"/>
      <c r="H28" s="109"/>
      <c r="I28" s="109"/>
      <c r="J28" s="2"/>
      <c r="Q28" s="54"/>
    </row>
    <row r="29" spans="1:17" ht="12.75" customHeight="1">
      <c r="A29" s="1" t="s">
        <v>7</v>
      </c>
      <c r="B29" s="109" t="s">
        <v>31</v>
      </c>
      <c r="C29" s="109"/>
      <c r="D29" s="109"/>
      <c r="E29" s="109"/>
      <c r="F29" s="109"/>
      <c r="G29" s="109"/>
      <c r="H29" s="109"/>
      <c r="I29" s="4"/>
      <c r="J29" s="2">
        <f>I29*J24</f>
        <v>0</v>
      </c>
      <c r="Q29" s="54"/>
    </row>
    <row r="30" spans="1:17" ht="15.75" customHeight="1">
      <c r="A30" s="116" t="s">
        <v>32</v>
      </c>
      <c r="B30" s="116"/>
      <c r="C30" s="116"/>
      <c r="D30" s="116"/>
      <c r="E30" s="116"/>
      <c r="F30" s="116"/>
      <c r="G30" s="116"/>
      <c r="H30" s="116"/>
      <c r="I30" s="116"/>
      <c r="J30" s="5">
        <f>SUM(J24:J29)</f>
        <v>909.86</v>
      </c>
    </row>
    <row r="31" spans="1:17" ht="13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Q31" s="54"/>
    </row>
    <row r="32" spans="1:17" ht="16.149999999999999" customHeight="1">
      <c r="A32" s="112" t="s">
        <v>33</v>
      </c>
      <c r="B32" s="112"/>
      <c r="C32" s="112"/>
      <c r="D32" s="112"/>
      <c r="E32" s="112"/>
      <c r="F32" s="112"/>
      <c r="G32" s="112"/>
      <c r="H32" s="112"/>
      <c r="I32" s="112"/>
      <c r="J32" s="112"/>
    </row>
    <row r="33" spans="1:13" ht="14">
      <c r="A33" s="129" t="s">
        <v>34</v>
      </c>
      <c r="B33" s="129"/>
      <c r="C33" s="129"/>
      <c r="D33" s="129"/>
      <c r="E33" s="129"/>
      <c r="F33" s="129"/>
      <c r="G33" s="129"/>
      <c r="H33" s="129"/>
      <c r="I33" s="129"/>
      <c r="J33" s="129"/>
    </row>
    <row r="34" spans="1:13" ht="14">
      <c r="A34" s="6" t="s">
        <v>35</v>
      </c>
      <c r="B34" s="130" t="s">
        <v>36</v>
      </c>
      <c r="C34" s="130"/>
      <c r="D34" s="130"/>
      <c r="E34" s="130"/>
      <c r="F34" s="130"/>
      <c r="G34" s="130"/>
      <c r="H34" s="130"/>
      <c r="I34" s="130"/>
      <c r="J34" s="7" t="s">
        <v>37</v>
      </c>
    </row>
    <row r="35" spans="1:13" ht="27.65" customHeight="1">
      <c r="A35" s="8" t="s">
        <v>5</v>
      </c>
      <c r="B35" s="109" t="s">
        <v>38</v>
      </c>
      <c r="C35" s="109"/>
      <c r="D35" s="109"/>
      <c r="E35" s="109"/>
      <c r="F35" s="109"/>
      <c r="G35" s="109"/>
      <c r="H35" s="109"/>
      <c r="I35" s="9">
        <v>8.3299999999999999E-2</v>
      </c>
      <c r="J35" s="10">
        <f>ROUND($J$30*I35,2)</f>
        <v>75.790000000000006</v>
      </c>
      <c r="M35" s="55"/>
    </row>
    <row r="36" spans="1:13" ht="36.25" customHeight="1">
      <c r="A36" s="8" t="s">
        <v>7</v>
      </c>
      <c r="B36" s="120" t="s">
        <v>39</v>
      </c>
      <c r="C36" s="120"/>
      <c r="D36" s="120"/>
      <c r="E36" s="120"/>
      <c r="F36" s="120"/>
      <c r="G36" s="120"/>
      <c r="H36" s="120"/>
      <c r="I36" s="11">
        <v>3.0249999999999999E-2</v>
      </c>
      <c r="J36" s="10">
        <f>ROUND($J$30*I36,2)</f>
        <v>27.52</v>
      </c>
    </row>
    <row r="37" spans="1:13" ht="13">
      <c r="A37" s="128" t="s">
        <v>40</v>
      </c>
      <c r="B37" s="128"/>
      <c r="C37" s="128"/>
      <c r="D37" s="128"/>
      <c r="E37" s="128"/>
      <c r="F37" s="128"/>
      <c r="G37" s="128"/>
      <c r="H37" s="128"/>
      <c r="I37" s="128"/>
      <c r="J37" s="65">
        <f>SUM(J35+J36)</f>
        <v>103.31</v>
      </c>
    </row>
    <row r="38" spans="1:13" ht="13">
      <c r="A38" s="101"/>
      <c r="B38" s="101"/>
      <c r="C38" s="101"/>
      <c r="D38" s="101"/>
      <c r="E38" s="101"/>
      <c r="F38" s="101"/>
      <c r="G38" s="101"/>
      <c r="H38" s="101"/>
      <c r="I38" s="101"/>
      <c r="J38" s="101"/>
    </row>
    <row r="39" spans="1:13" ht="30.4" customHeight="1">
      <c r="A39" s="112" t="s">
        <v>41</v>
      </c>
      <c r="B39" s="112"/>
      <c r="C39" s="112"/>
      <c r="D39" s="112"/>
      <c r="E39" s="112"/>
      <c r="F39" s="112"/>
      <c r="G39" s="112"/>
      <c r="H39" s="112"/>
      <c r="I39" s="112"/>
      <c r="J39" s="112"/>
    </row>
    <row r="40" spans="1:13" ht="30.4" customHeight="1">
      <c r="A40" s="63" t="s">
        <v>42</v>
      </c>
      <c r="B40" s="113" t="s">
        <v>43</v>
      </c>
      <c r="C40" s="113"/>
      <c r="D40" s="113"/>
      <c r="E40" s="113"/>
      <c r="F40" s="113"/>
      <c r="G40" s="113"/>
      <c r="H40" s="113"/>
      <c r="I40" s="64" t="s">
        <v>44</v>
      </c>
      <c r="J40" s="64" t="s">
        <v>45</v>
      </c>
    </row>
    <row r="41" spans="1:13" ht="13">
      <c r="A41" s="8" t="s">
        <v>5</v>
      </c>
      <c r="B41" s="104" t="s">
        <v>46</v>
      </c>
      <c r="C41" s="104"/>
      <c r="D41" s="104"/>
      <c r="E41" s="104"/>
      <c r="F41" s="104"/>
      <c r="G41" s="104"/>
      <c r="H41" s="104"/>
      <c r="I41" s="15">
        <v>0.2</v>
      </c>
      <c r="J41" s="16">
        <f>ROUND(($J$30+$J$37)*I41,2)</f>
        <v>202.63</v>
      </c>
    </row>
    <row r="42" spans="1:13" ht="13">
      <c r="A42" s="8" t="s">
        <v>7</v>
      </c>
      <c r="B42" s="104" t="s">
        <v>47</v>
      </c>
      <c r="C42" s="104"/>
      <c r="D42" s="104"/>
      <c r="E42" s="104"/>
      <c r="F42" s="104"/>
      <c r="G42" s="104"/>
      <c r="H42" s="104"/>
      <c r="I42" s="15">
        <v>2.5000000000000001E-2</v>
      </c>
      <c r="J42" s="16">
        <f t="shared" ref="J42:J48" si="0">ROUND(($J$30+$J$37)*I42,2)</f>
        <v>25.33</v>
      </c>
    </row>
    <row r="43" spans="1:13" ht="23.9" customHeight="1">
      <c r="A43" s="8" t="s">
        <v>9</v>
      </c>
      <c r="B43" s="109" t="s">
        <v>48</v>
      </c>
      <c r="C43" s="109"/>
      <c r="D43" s="109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10.130000000000001</v>
      </c>
    </row>
    <row r="44" spans="1:13" ht="13">
      <c r="A44" s="8" t="s">
        <v>12</v>
      </c>
      <c r="B44" s="104" t="s">
        <v>51</v>
      </c>
      <c r="C44" s="104"/>
      <c r="D44" s="104"/>
      <c r="E44" s="104"/>
      <c r="F44" s="104"/>
      <c r="G44" s="104"/>
      <c r="H44" s="104"/>
      <c r="I44" s="15">
        <v>1.4999999999999999E-2</v>
      </c>
      <c r="J44" s="16">
        <f t="shared" si="0"/>
        <v>15.2</v>
      </c>
    </row>
    <row r="45" spans="1:13" ht="13">
      <c r="A45" s="8" t="s">
        <v>29</v>
      </c>
      <c r="B45" s="104" t="s">
        <v>52</v>
      </c>
      <c r="C45" s="104"/>
      <c r="D45" s="104"/>
      <c r="E45" s="104"/>
      <c r="F45" s="104"/>
      <c r="G45" s="104"/>
      <c r="H45" s="104"/>
      <c r="I45" s="15">
        <v>0.01</v>
      </c>
      <c r="J45" s="16">
        <f t="shared" si="0"/>
        <v>10.130000000000001</v>
      </c>
    </row>
    <row r="46" spans="1:13" ht="13">
      <c r="A46" s="8" t="s">
        <v>53</v>
      </c>
      <c r="B46" s="104" t="s">
        <v>54</v>
      </c>
      <c r="C46" s="104"/>
      <c r="D46" s="104"/>
      <c r="E46" s="104"/>
      <c r="F46" s="104"/>
      <c r="G46" s="104"/>
      <c r="H46" s="104"/>
      <c r="I46" s="15">
        <v>6.0000000000000001E-3</v>
      </c>
      <c r="J46" s="16">
        <f t="shared" si="0"/>
        <v>6.08</v>
      </c>
    </row>
    <row r="47" spans="1:13" ht="13">
      <c r="A47" s="8" t="s">
        <v>55</v>
      </c>
      <c r="B47" s="104" t="s">
        <v>56</v>
      </c>
      <c r="C47" s="104"/>
      <c r="D47" s="104"/>
      <c r="E47" s="104"/>
      <c r="F47" s="104"/>
      <c r="G47" s="104"/>
      <c r="H47" s="104"/>
      <c r="I47" s="15">
        <v>2E-3</v>
      </c>
      <c r="J47" s="16">
        <f t="shared" si="0"/>
        <v>2.0299999999999998</v>
      </c>
    </row>
    <row r="48" spans="1:13" ht="13">
      <c r="A48" s="8" t="s">
        <v>57</v>
      </c>
      <c r="B48" s="104" t="s">
        <v>58</v>
      </c>
      <c r="C48" s="104"/>
      <c r="D48" s="104"/>
      <c r="E48" s="104"/>
      <c r="F48" s="104"/>
      <c r="G48" s="104"/>
      <c r="H48" s="104"/>
      <c r="I48" s="15">
        <v>0.08</v>
      </c>
      <c r="J48" s="16">
        <f t="shared" si="0"/>
        <v>81.05</v>
      </c>
    </row>
    <row r="49" spans="1:12" ht="13">
      <c r="A49" s="105" t="s">
        <v>40</v>
      </c>
      <c r="B49" s="105"/>
      <c r="C49" s="105"/>
      <c r="D49" s="105"/>
      <c r="E49" s="105"/>
      <c r="F49" s="105"/>
      <c r="G49" s="105"/>
      <c r="H49" s="105"/>
      <c r="I49" s="21">
        <f>SUM(I41:I48)</f>
        <v>0.34800000000000003</v>
      </c>
      <c r="J49" s="14">
        <f>SUM(J41:J48)</f>
        <v>352.57999999999993</v>
      </c>
    </row>
    <row r="50" spans="1:12" ht="13">
      <c r="A50" s="101"/>
      <c r="B50" s="101"/>
      <c r="C50" s="101"/>
      <c r="D50" s="101"/>
      <c r="E50" s="101"/>
      <c r="F50" s="101"/>
      <c r="G50" s="101"/>
      <c r="H50" s="101"/>
      <c r="I50" s="101"/>
      <c r="J50" s="101"/>
    </row>
    <row r="51" spans="1:12" ht="16.149999999999999" customHeight="1">
      <c r="A51" s="112" t="s">
        <v>59</v>
      </c>
      <c r="B51" s="112"/>
      <c r="C51" s="112"/>
      <c r="D51" s="112"/>
      <c r="E51" s="112"/>
      <c r="F51" s="112"/>
      <c r="G51" s="112"/>
      <c r="H51" s="112"/>
      <c r="I51" s="112"/>
      <c r="J51" s="112"/>
      <c r="L51" s="53"/>
    </row>
    <row r="52" spans="1:12" ht="16.149999999999999" customHeight="1">
      <c r="A52" s="63" t="s">
        <v>60</v>
      </c>
      <c r="B52" s="113" t="s">
        <v>61</v>
      </c>
      <c r="C52" s="113"/>
      <c r="D52" s="113"/>
      <c r="E52" s="113"/>
      <c r="F52" s="113"/>
      <c r="G52" s="113"/>
      <c r="H52" s="113"/>
      <c r="I52" s="113"/>
      <c r="J52" s="64" t="s">
        <v>37</v>
      </c>
    </row>
    <row r="53" spans="1:12" ht="13">
      <c r="A53" s="8" t="s">
        <v>5</v>
      </c>
      <c r="B53" s="104" t="s">
        <v>62</v>
      </c>
      <c r="C53" s="104"/>
      <c r="D53" s="104"/>
      <c r="E53" s="104"/>
      <c r="F53" s="104"/>
      <c r="G53" s="104"/>
      <c r="H53" s="104"/>
      <c r="I53" s="104"/>
      <c r="J53" s="16">
        <f>IF(ROUND((I56*I54*I55)-(J24*0.06),2)&lt;0,0,ROUND((I56*I54*I55)-(J24*0.06),2))</f>
        <v>195.01</v>
      </c>
    </row>
    <row r="54" spans="1:12" ht="13">
      <c r="A54" s="8"/>
      <c r="B54" s="121" t="s">
        <v>63</v>
      </c>
      <c r="C54" s="121"/>
      <c r="D54" s="121"/>
      <c r="E54" s="121"/>
      <c r="F54" s="121"/>
      <c r="G54" s="121"/>
      <c r="H54" s="121"/>
      <c r="I54" s="22">
        <v>4.8</v>
      </c>
      <c r="J54" s="51" t="s">
        <v>64</v>
      </c>
    </row>
    <row r="55" spans="1:12" ht="13">
      <c r="A55" s="8"/>
      <c r="B55" s="121" t="s">
        <v>65</v>
      </c>
      <c r="C55" s="121"/>
      <c r="D55" s="121"/>
      <c r="E55" s="121"/>
      <c r="F55" s="121"/>
      <c r="G55" s="121"/>
      <c r="H55" s="121"/>
      <c r="I55" s="23">
        <v>2</v>
      </c>
      <c r="J55" s="51"/>
    </row>
    <row r="56" spans="1:12" ht="13">
      <c r="A56" s="8"/>
      <c r="B56" s="121" t="s">
        <v>66</v>
      </c>
      <c r="C56" s="121"/>
      <c r="D56" s="121"/>
      <c r="E56" s="121"/>
      <c r="F56" s="121"/>
      <c r="G56" s="121"/>
      <c r="H56" s="121"/>
      <c r="I56" s="24">
        <v>26</v>
      </c>
      <c r="J56" s="51"/>
    </row>
    <row r="57" spans="1:12" ht="13">
      <c r="A57" s="8" t="s">
        <v>7</v>
      </c>
      <c r="B57" s="104" t="s">
        <v>67</v>
      </c>
      <c r="C57" s="104"/>
      <c r="D57" s="104"/>
      <c r="E57" s="104"/>
      <c r="F57" s="104"/>
      <c r="G57" s="104"/>
      <c r="H57" s="104"/>
      <c r="I57" s="104"/>
      <c r="J57" s="16">
        <f>ROUND((I58*I59)-(I59*I58*I60),2)</f>
        <v>212.5</v>
      </c>
    </row>
    <row r="58" spans="1:12" ht="13">
      <c r="A58" s="8"/>
      <c r="B58" s="121" t="s">
        <v>68</v>
      </c>
      <c r="C58" s="121"/>
      <c r="D58" s="121"/>
      <c r="E58" s="121"/>
      <c r="F58" s="121"/>
      <c r="G58" s="121"/>
      <c r="H58" s="121"/>
      <c r="I58" s="22">
        <v>10.09</v>
      </c>
      <c r="J58" s="51" t="s">
        <v>64</v>
      </c>
    </row>
    <row r="59" spans="1:12" ht="13">
      <c r="A59" s="25"/>
      <c r="B59" s="121" t="s">
        <v>69</v>
      </c>
      <c r="C59" s="121"/>
      <c r="D59" s="121"/>
      <c r="E59" s="121"/>
      <c r="F59" s="121"/>
      <c r="G59" s="121"/>
      <c r="H59" s="121"/>
      <c r="I59" s="26">
        <v>26</v>
      </c>
      <c r="J59" s="51"/>
    </row>
    <row r="60" spans="1:12" ht="13">
      <c r="A60" s="25"/>
      <c r="B60" s="121" t="s">
        <v>132</v>
      </c>
      <c r="C60" s="121"/>
      <c r="D60" s="121"/>
      <c r="E60" s="121"/>
      <c r="F60" s="121"/>
      <c r="G60" s="121"/>
      <c r="H60" s="121"/>
      <c r="I60" s="52">
        <v>0.19</v>
      </c>
      <c r="J60" s="51"/>
    </row>
    <row r="61" spans="1:12" ht="27.65" customHeight="1">
      <c r="A61" s="8" t="s">
        <v>9</v>
      </c>
      <c r="B61" s="122" t="s">
        <v>70</v>
      </c>
      <c r="C61" s="123"/>
      <c r="D61" s="123"/>
      <c r="E61" s="123"/>
      <c r="F61" s="123"/>
      <c r="G61" s="123"/>
      <c r="H61" s="123"/>
      <c r="I61" s="124"/>
      <c r="J61" s="27">
        <v>0</v>
      </c>
    </row>
    <row r="62" spans="1:12" ht="27.65" customHeight="1">
      <c r="A62" s="8" t="s">
        <v>12</v>
      </c>
      <c r="B62" s="122"/>
      <c r="C62" s="123"/>
      <c r="D62" s="123"/>
      <c r="E62" s="123"/>
      <c r="F62" s="123"/>
      <c r="G62" s="123"/>
      <c r="H62" s="123"/>
      <c r="I62" s="124"/>
      <c r="J62" s="27"/>
      <c r="L62" s="50"/>
    </row>
    <row r="63" spans="1:12" ht="27.65" customHeight="1">
      <c r="A63" s="8" t="s">
        <v>12</v>
      </c>
      <c r="B63" s="122" t="s">
        <v>186</v>
      </c>
      <c r="C63" s="123"/>
      <c r="D63" s="123"/>
      <c r="E63" s="123"/>
      <c r="F63" s="123"/>
      <c r="G63" s="123"/>
      <c r="H63" s="123"/>
      <c r="I63" s="124"/>
      <c r="J63" s="27">
        <v>17.32</v>
      </c>
      <c r="L63" s="50"/>
    </row>
    <row r="64" spans="1:12" ht="13">
      <c r="A64" s="125" t="s">
        <v>32</v>
      </c>
      <c r="B64" s="126"/>
      <c r="C64" s="126"/>
      <c r="D64" s="126"/>
      <c r="E64" s="126"/>
      <c r="F64" s="126"/>
      <c r="G64" s="126"/>
      <c r="H64" s="126"/>
      <c r="I64" s="127"/>
      <c r="J64" s="14">
        <f>SUM(J53:J63)</f>
        <v>424.83</v>
      </c>
      <c r="L64" s="50"/>
    </row>
    <row r="65" spans="1:12" ht="13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L65" s="50"/>
    </row>
    <row r="66" spans="1:12" ht="16.149999999999999" customHeight="1">
      <c r="A66" s="112" t="s">
        <v>71</v>
      </c>
      <c r="B66" s="112"/>
      <c r="C66" s="112"/>
      <c r="D66" s="112"/>
      <c r="E66" s="112"/>
      <c r="F66" s="112"/>
      <c r="G66" s="112"/>
      <c r="H66" s="112"/>
      <c r="I66" s="112"/>
      <c r="J66" s="112"/>
      <c r="L66" s="50"/>
    </row>
    <row r="67" spans="1:12" ht="16.149999999999999" customHeight="1">
      <c r="A67" s="64">
        <v>2</v>
      </c>
      <c r="B67" s="115" t="s">
        <v>72</v>
      </c>
      <c r="C67" s="115"/>
      <c r="D67" s="115"/>
      <c r="E67" s="115"/>
      <c r="F67" s="115"/>
      <c r="G67" s="115"/>
      <c r="H67" s="115"/>
      <c r="I67" s="115"/>
      <c r="J67" s="64" t="s">
        <v>37</v>
      </c>
      <c r="L67" s="50"/>
    </row>
    <row r="68" spans="1:12" ht="14.65" customHeight="1">
      <c r="A68" s="1" t="s">
        <v>35</v>
      </c>
      <c r="B68" s="1"/>
      <c r="C68" s="109" t="s">
        <v>73</v>
      </c>
      <c r="D68" s="109"/>
      <c r="E68" s="109"/>
      <c r="F68" s="109"/>
      <c r="G68" s="109"/>
      <c r="H68" s="109"/>
      <c r="I68" s="109"/>
      <c r="J68" s="28">
        <f>J37</f>
        <v>103.31</v>
      </c>
      <c r="L68" s="50"/>
    </row>
    <row r="69" spans="1:12" ht="14.65" customHeight="1">
      <c r="A69" s="1" t="s">
        <v>42</v>
      </c>
      <c r="B69" s="1"/>
      <c r="C69" s="109" t="s">
        <v>43</v>
      </c>
      <c r="D69" s="109"/>
      <c r="E69" s="109"/>
      <c r="F69" s="109"/>
      <c r="G69" s="109"/>
      <c r="H69" s="109"/>
      <c r="I69" s="109"/>
      <c r="J69" s="28">
        <f>J49</f>
        <v>352.57999999999993</v>
      </c>
      <c r="L69" s="50"/>
    </row>
    <row r="70" spans="1:12" ht="14.65" customHeight="1">
      <c r="A70" s="1" t="s">
        <v>60</v>
      </c>
      <c r="B70" s="1"/>
      <c r="C70" s="109" t="s">
        <v>61</v>
      </c>
      <c r="D70" s="109"/>
      <c r="E70" s="109"/>
      <c r="F70" s="109"/>
      <c r="G70" s="109"/>
      <c r="H70" s="109"/>
      <c r="I70" s="109"/>
      <c r="J70" s="28">
        <f>J64</f>
        <v>424.83</v>
      </c>
      <c r="L70" s="50"/>
    </row>
    <row r="71" spans="1:12" ht="14.65" customHeight="1">
      <c r="A71" s="116" t="s">
        <v>40</v>
      </c>
      <c r="B71" s="116"/>
      <c r="C71" s="116"/>
      <c r="D71" s="116"/>
      <c r="E71" s="116"/>
      <c r="F71" s="116"/>
      <c r="G71" s="116"/>
      <c r="H71" s="116"/>
      <c r="I71" s="116"/>
      <c r="J71" s="29">
        <f>SUM(J68+J69+J70)</f>
        <v>880.71999999999991</v>
      </c>
    </row>
    <row r="72" spans="1:12" ht="13">
      <c r="A72" s="101"/>
      <c r="B72" s="101"/>
      <c r="C72" s="101"/>
      <c r="D72" s="101"/>
      <c r="E72" s="101"/>
      <c r="F72" s="101"/>
      <c r="G72" s="101"/>
      <c r="H72" s="101"/>
      <c r="I72" s="101"/>
      <c r="J72" s="101"/>
    </row>
    <row r="73" spans="1:12" ht="16.149999999999999" customHeight="1">
      <c r="A73" s="112" t="s">
        <v>74</v>
      </c>
      <c r="B73" s="112"/>
      <c r="C73" s="112"/>
      <c r="D73" s="112"/>
      <c r="E73" s="112"/>
      <c r="F73" s="112"/>
      <c r="G73" s="112"/>
      <c r="H73" s="112"/>
      <c r="I73" s="112"/>
      <c r="J73" s="112"/>
    </row>
    <row r="74" spans="1:12" ht="16.149999999999999" customHeight="1">
      <c r="A74" s="63">
        <v>3</v>
      </c>
      <c r="B74" s="115" t="s">
        <v>75</v>
      </c>
      <c r="C74" s="115"/>
      <c r="D74" s="115"/>
      <c r="E74" s="115"/>
      <c r="F74" s="115"/>
      <c r="G74" s="115"/>
      <c r="H74" s="115"/>
      <c r="I74" s="115"/>
      <c r="J74" s="63" t="s">
        <v>76</v>
      </c>
    </row>
    <row r="75" spans="1:12" ht="46.5" customHeight="1">
      <c r="A75" s="8" t="s">
        <v>5</v>
      </c>
      <c r="B75" s="109" t="s">
        <v>135</v>
      </c>
      <c r="C75" s="109"/>
      <c r="D75" s="109"/>
      <c r="E75" s="109"/>
      <c r="F75" s="109"/>
      <c r="G75" s="109"/>
      <c r="H75" s="109"/>
      <c r="I75" s="109"/>
      <c r="J75" s="16">
        <f>ROUND(((J30)+(J35)+(J30/12)+(J36))/12*0.01,2)</f>
        <v>0.91</v>
      </c>
      <c r="L75" s="50"/>
    </row>
    <row r="76" spans="1:12" ht="14.65" customHeight="1">
      <c r="A76" s="8" t="s">
        <v>7</v>
      </c>
      <c r="B76" s="109" t="s">
        <v>77</v>
      </c>
      <c r="C76" s="109"/>
      <c r="D76" s="109"/>
      <c r="E76" s="109"/>
      <c r="F76" s="109"/>
      <c r="G76" s="109"/>
      <c r="H76" s="109"/>
      <c r="I76" s="109"/>
      <c r="J76" s="16">
        <f>ROUND($J$75*I48,2)</f>
        <v>7.0000000000000007E-2</v>
      </c>
    </row>
    <row r="77" spans="1:12" ht="36.25" customHeight="1">
      <c r="A77" s="8" t="s">
        <v>9</v>
      </c>
      <c r="B77" s="109" t="s">
        <v>136</v>
      </c>
      <c r="C77" s="109"/>
      <c r="D77" s="109"/>
      <c r="E77" s="109"/>
      <c r="F77" s="109"/>
      <c r="G77" s="109"/>
      <c r="H77" s="109"/>
      <c r="I77" s="30">
        <v>2.3999999999999998E-3</v>
      </c>
      <c r="J77" s="16">
        <f>ROUND($J$30*I77,2)</f>
        <v>2.1800000000000002</v>
      </c>
    </row>
    <row r="78" spans="1:12" ht="34.5" customHeight="1">
      <c r="A78" s="8" t="s">
        <v>12</v>
      </c>
      <c r="B78" s="109" t="s">
        <v>138</v>
      </c>
      <c r="C78" s="109"/>
      <c r="D78" s="109"/>
      <c r="E78" s="109"/>
      <c r="F78" s="109"/>
      <c r="G78" s="109"/>
      <c r="H78" s="109"/>
      <c r="I78" s="109"/>
      <c r="J78" s="16">
        <f>J30/30*7/12*0.05</f>
        <v>0.88458611111111107</v>
      </c>
    </row>
    <row r="79" spans="1:12" ht="14.65" customHeight="1">
      <c r="A79" s="8" t="s">
        <v>29</v>
      </c>
      <c r="B79" s="109" t="s">
        <v>78</v>
      </c>
      <c r="C79" s="109"/>
      <c r="D79" s="109"/>
      <c r="E79" s="109"/>
      <c r="F79" s="109"/>
      <c r="G79" s="109"/>
      <c r="H79" s="109"/>
      <c r="I79" s="109"/>
      <c r="J79" s="16">
        <f>ROUND($I$49*J78,2)</f>
        <v>0.31</v>
      </c>
    </row>
    <row r="80" spans="1:12" ht="36.25" customHeight="1">
      <c r="A80" s="8" t="s">
        <v>53</v>
      </c>
      <c r="B80" s="109" t="s">
        <v>137</v>
      </c>
      <c r="C80" s="109"/>
      <c r="D80" s="109"/>
      <c r="E80" s="109"/>
      <c r="F80" s="109"/>
      <c r="G80" s="109"/>
      <c r="H80" s="109"/>
      <c r="I80" s="30">
        <v>3.7600000000000001E-2</v>
      </c>
      <c r="J80" s="16">
        <f>ROUND($J$30*I80,2)</f>
        <v>34.21</v>
      </c>
    </row>
    <row r="81" spans="1:10" ht="13">
      <c r="A81" s="105" t="s">
        <v>40</v>
      </c>
      <c r="B81" s="105"/>
      <c r="C81" s="105"/>
      <c r="D81" s="105"/>
      <c r="E81" s="105"/>
      <c r="F81" s="105"/>
      <c r="G81" s="105"/>
      <c r="H81" s="105"/>
      <c r="I81" s="105"/>
      <c r="J81" s="14">
        <f>SUM(J75:J80)</f>
        <v>38.564586111111112</v>
      </c>
    </row>
    <row r="82" spans="1:10" ht="13">
      <c r="A82" s="101"/>
      <c r="B82" s="101"/>
      <c r="C82" s="101"/>
      <c r="D82" s="101"/>
      <c r="E82" s="101"/>
      <c r="F82" s="101"/>
      <c r="G82" s="101"/>
      <c r="H82" s="101"/>
      <c r="I82" s="101"/>
      <c r="J82" s="101"/>
    </row>
    <row r="83" spans="1:10" ht="16.149999999999999" customHeight="1">
      <c r="A83" s="112" t="s">
        <v>79</v>
      </c>
      <c r="B83" s="112"/>
      <c r="C83" s="112"/>
      <c r="D83" s="112"/>
      <c r="E83" s="112"/>
      <c r="F83" s="112"/>
      <c r="G83" s="112"/>
      <c r="H83" s="112"/>
      <c r="I83" s="112"/>
      <c r="J83" s="112"/>
    </row>
    <row r="84" spans="1:10" ht="15" customHeight="1">
      <c r="A84" s="119" t="s">
        <v>80</v>
      </c>
      <c r="B84" s="119"/>
      <c r="C84" s="119"/>
      <c r="D84" s="119"/>
      <c r="E84" s="119"/>
      <c r="F84" s="119"/>
      <c r="G84" s="119"/>
      <c r="H84" s="119"/>
      <c r="I84" s="119"/>
      <c r="J84" s="31">
        <f>J87+J30+J35+J36</f>
        <v>1095.74</v>
      </c>
    </row>
    <row r="85" spans="1:10" ht="14.65" customHeight="1">
      <c r="A85" s="120"/>
      <c r="B85" s="120"/>
      <c r="C85" s="120"/>
      <c r="D85" s="120"/>
      <c r="E85" s="120"/>
      <c r="F85" s="120"/>
      <c r="G85" s="120"/>
      <c r="H85" s="120"/>
      <c r="I85" s="120"/>
      <c r="J85" s="120"/>
    </row>
    <row r="86" spans="1:10" ht="14">
      <c r="A86" s="32" t="s">
        <v>81</v>
      </c>
      <c r="B86" s="113" t="s">
        <v>82</v>
      </c>
      <c r="C86" s="113"/>
      <c r="D86" s="113"/>
      <c r="E86" s="113"/>
      <c r="F86" s="113"/>
      <c r="G86" s="113"/>
      <c r="H86" s="113"/>
      <c r="I86" s="113"/>
      <c r="J86" s="32" t="s">
        <v>37</v>
      </c>
    </row>
    <row r="87" spans="1:10" ht="12.75" customHeight="1">
      <c r="A87" s="12" t="s">
        <v>5</v>
      </c>
      <c r="B87" s="109" t="s">
        <v>83</v>
      </c>
      <c r="C87" s="109"/>
      <c r="D87" s="109"/>
      <c r="E87" s="109"/>
      <c r="F87" s="109"/>
      <c r="G87" s="109"/>
      <c r="H87" s="109"/>
      <c r="I87" s="33">
        <f>12.1%-I36</f>
        <v>9.0749999999999997E-2</v>
      </c>
      <c r="J87" s="16">
        <f>ROUND(($J$30*I87),2)</f>
        <v>82.57</v>
      </c>
    </row>
    <row r="88" spans="1:10" ht="13">
      <c r="A88" s="12" t="s">
        <v>7</v>
      </c>
      <c r="B88" s="104" t="s">
        <v>131</v>
      </c>
      <c r="C88" s="104"/>
      <c r="D88" s="104"/>
      <c r="E88" s="104"/>
      <c r="F88" s="104"/>
      <c r="G88" s="104"/>
      <c r="H88" s="104"/>
      <c r="I88" s="104"/>
      <c r="J88" s="34">
        <f>J84/30*0.1/12</f>
        <v>0.30437222222222227</v>
      </c>
    </row>
    <row r="89" spans="1:10" ht="13">
      <c r="A89" s="12" t="s">
        <v>9</v>
      </c>
      <c r="B89" s="104" t="s">
        <v>84</v>
      </c>
      <c r="C89" s="104"/>
      <c r="D89" s="104"/>
      <c r="E89" s="104"/>
      <c r="F89" s="104"/>
      <c r="G89" s="104"/>
      <c r="H89" s="104"/>
      <c r="I89" s="104"/>
      <c r="J89" s="34">
        <f>J84/30*5/12*1.5%</f>
        <v>0.22827916666666664</v>
      </c>
    </row>
    <row r="90" spans="1:10" ht="13">
      <c r="A90" s="12" t="s">
        <v>12</v>
      </c>
      <c r="B90" s="104" t="s">
        <v>85</v>
      </c>
      <c r="C90" s="104"/>
      <c r="D90" s="104"/>
      <c r="E90" s="104"/>
      <c r="F90" s="104"/>
      <c r="G90" s="104"/>
      <c r="H90" s="104"/>
      <c r="I90" s="104"/>
      <c r="J90" s="13">
        <f>J84/30*15/12*0.78%</f>
        <v>0.35611550000000003</v>
      </c>
    </row>
    <row r="91" spans="1:10" ht="13">
      <c r="A91" s="12" t="s">
        <v>29</v>
      </c>
      <c r="B91" s="104" t="s">
        <v>86</v>
      </c>
      <c r="C91" s="104"/>
      <c r="D91" s="104"/>
      <c r="E91" s="104"/>
      <c r="F91" s="104"/>
      <c r="G91" s="104"/>
      <c r="H91" s="104"/>
      <c r="I91" s="104"/>
      <c r="J91" s="16">
        <f>(J30+J36)/12*4/12*1%</f>
        <v>0.2603833333333333</v>
      </c>
    </row>
    <row r="92" spans="1:10" ht="13">
      <c r="A92" s="35" t="s">
        <v>53</v>
      </c>
      <c r="B92" s="118" t="s">
        <v>87</v>
      </c>
      <c r="C92" s="118"/>
      <c r="D92" s="118"/>
      <c r="E92" s="118"/>
      <c r="F92" s="118"/>
      <c r="G92" s="118"/>
      <c r="H92" s="118"/>
      <c r="I92" s="118"/>
      <c r="J92" s="13">
        <f>J84/30*0.15/12</f>
        <v>0.45655833333333334</v>
      </c>
    </row>
    <row r="93" spans="1:10" ht="13">
      <c r="A93" s="105" t="s">
        <v>40</v>
      </c>
      <c r="B93" s="105"/>
      <c r="C93" s="105"/>
      <c r="D93" s="105"/>
      <c r="E93" s="105"/>
      <c r="F93" s="105"/>
      <c r="G93" s="105"/>
      <c r="H93" s="105"/>
      <c r="I93" s="105"/>
      <c r="J93" s="36">
        <f>SUM(J87:J92)</f>
        <v>84.175708555555559</v>
      </c>
    </row>
    <row r="94" spans="1:10" ht="14.65" customHeight="1">
      <c r="A94" s="12"/>
      <c r="B94" s="104"/>
      <c r="C94" s="104"/>
      <c r="D94" s="104"/>
      <c r="E94" s="104"/>
      <c r="F94" s="104"/>
      <c r="G94" s="104"/>
      <c r="H94" s="104"/>
      <c r="I94" s="104"/>
      <c r="J94" s="13"/>
    </row>
    <row r="95" spans="1:10" ht="13">
      <c r="A95" s="105" t="s">
        <v>40</v>
      </c>
      <c r="B95" s="105"/>
      <c r="C95" s="105"/>
      <c r="D95" s="105"/>
      <c r="E95" s="105"/>
      <c r="F95" s="105"/>
      <c r="G95" s="105"/>
      <c r="H95" s="105"/>
      <c r="I95" s="105"/>
      <c r="J95" s="14">
        <f>SUM(J93:J94)</f>
        <v>84.175708555555559</v>
      </c>
    </row>
    <row r="96" spans="1:10" ht="16.149999999999999" customHeight="1">
      <c r="A96" s="112" t="s">
        <v>88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14">
      <c r="A97" s="63" t="s">
        <v>89</v>
      </c>
      <c r="B97" s="113" t="s">
        <v>90</v>
      </c>
      <c r="C97" s="113"/>
      <c r="D97" s="113"/>
      <c r="E97" s="113"/>
      <c r="F97" s="113"/>
      <c r="G97" s="113"/>
      <c r="H97" s="113"/>
      <c r="I97" s="113"/>
      <c r="J97" s="37" t="s">
        <v>37</v>
      </c>
    </row>
    <row r="98" spans="1:10" ht="13">
      <c r="A98" s="8" t="s">
        <v>5</v>
      </c>
      <c r="B98" s="104" t="s">
        <v>91</v>
      </c>
      <c r="C98" s="104"/>
      <c r="D98" s="104"/>
      <c r="E98" s="104"/>
      <c r="F98" s="104"/>
      <c r="G98" s="104"/>
      <c r="H98" s="104"/>
      <c r="I98" s="104"/>
      <c r="J98" s="16">
        <v>0</v>
      </c>
    </row>
    <row r="99" spans="1:10" ht="13">
      <c r="A99" s="117" t="s">
        <v>40</v>
      </c>
      <c r="B99" s="117"/>
      <c r="C99" s="117"/>
      <c r="D99" s="117"/>
      <c r="E99" s="117"/>
      <c r="F99" s="117"/>
      <c r="G99" s="117"/>
      <c r="H99" s="117"/>
      <c r="I99" s="117"/>
      <c r="J99" s="16">
        <v>0</v>
      </c>
    </row>
    <row r="100" spans="1:10" ht="13">
      <c r="A100" s="12"/>
      <c r="B100" s="104"/>
      <c r="C100" s="104"/>
      <c r="D100" s="104"/>
      <c r="E100" s="104"/>
      <c r="F100" s="104"/>
      <c r="G100" s="104"/>
      <c r="H100" s="104"/>
      <c r="I100" s="104"/>
      <c r="J100" s="13"/>
    </row>
    <row r="101" spans="1:10" ht="13">
      <c r="A101" s="105" t="s">
        <v>40</v>
      </c>
      <c r="B101" s="105"/>
      <c r="C101" s="105"/>
      <c r="D101" s="105"/>
      <c r="E101" s="105"/>
      <c r="F101" s="105"/>
      <c r="G101" s="105"/>
      <c r="H101" s="105"/>
      <c r="I101" s="105"/>
      <c r="J101" s="14">
        <f>SUM(J99:J100)</f>
        <v>0</v>
      </c>
    </row>
    <row r="102" spans="1:10" ht="13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</row>
    <row r="103" spans="1:10" ht="16.149999999999999" customHeight="1">
      <c r="A103" s="112" t="s">
        <v>92</v>
      </c>
      <c r="B103" s="112"/>
      <c r="C103" s="112"/>
      <c r="D103" s="112"/>
      <c r="E103" s="112"/>
      <c r="F103" s="112"/>
      <c r="G103" s="112"/>
      <c r="H103" s="112"/>
      <c r="I103" s="112"/>
      <c r="J103" s="112"/>
    </row>
    <row r="104" spans="1:10" ht="16.149999999999999" customHeight="1">
      <c r="A104" s="64">
        <v>4</v>
      </c>
      <c r="B104" s="115" t="s">
        <v>93</v>
      </c>
      <c r="C104" s="115"/>
      <c r="D104" s="115"/>
      <c r="E104" s="115"/>
      <c r="F104" s="115"/>
      <c r="G104" s="115"/>
      <c r="H104" s="115"/>
      <c r="I104" s="115"/>
      <c r="J104" s="37" t="s">
        <v>37</v>
      </c>
    </row>
    <row r="105" spans="1:10" ht="14.65" customHeight="1">
      <c r="A105" s="1" t="s">
        <v>81</v>
      </c>
      <c r="B105" s="109" t="s">
        <v>94</v>
      </c>
      <c r="C105" s="109"/>
      <c r="D105" s="109"/>
      <c r="E105" s="109"/>
      <c r="F105" s="109"/>
      <c r="G105" s="109"/>
      <c r="H105" s="109"/>
      <c r="I105" s="109"/>
      <c r="J105" s="16">
        <f>J95</f>
        <v>84.175708555555559</v>
      </c>
    </row>
    <row r="106" spans="1:10" ht="14.65" customHeight="1">
      <c r="A106" s="1" t="s">
        <v>95</v>
      </c>
      <c r="B106" s="109" t="s">
        <v>96</v>
      </c>
      <c r="C106" s="109"/>
      <c r="D106" s="109"/>
      <c r="E106" s="109"/>
      <c r="F106" s="109"/>
      <c r="G106" s="109"/>
      <c r="H106" s="109"/>
      <c r="I106" s="109"/>
      <c r="J106" s="16">
        <f>J101</f>
        <v>0</v>
      </c>
    </row>
    <row r="107" spans="1:10" ht="14.65" customHeight="1">
      <c r="A107" s="116" t="s">
        <v>40</v>
      </c>
      <c r="B107" s="116"/>
      <c r="C107" s="116"/>
      <c r="D107" s="116"/>
      <c r="E107" s="116"/>
      <c r="F107" s="116"/>
      <c r="G107" s="116"/>
      <c r="H107" s="116"/>
      <c r="I107" s="116"/>
      <c r="J107" s="14">
        <f>SUM(J105+J106)</f>
        <v>84.175708555555559</v>
      </c>
    </row>
    <row r="108" spans="1:10" ht="13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</row>
    <row r="109" spans="1:10" ht="16.149999999999999" customHeight="1">
      <c r="A109" s="112" t="s">
        <v>97</v>
      </c>
      <c r="B109" s="112"/>
      <c r="C109" s="112"/>
      <c r="D109" s="112"/>
      <c r="E109" s="112"/>
      <c r="F109" s="112"/>
      <c r="G109" s="112"/>
      <c r="H109" s="112"/>
      <c r="I109" s="112"/>
      <c r="J109" s="112"/>
    </row>
    <row r="110" spans="1:10" ht="16.149999999999999" customHeight="1">
      <c r="A110" s="63">
        <v>5</v>
      </c>
      <c r="B110" s="113" t="s">
        <v>98</v>
      </c>
      <c r="C110" s="113"/>
      <c r="D110" s="113"/>
      <c r="E110" s="113"/>
      <c r="F110" s="113"/>
      <c r="G110" s="113"/>
      <c r="H110" s="113"/>
      <c r="I110" s="113"/>
      <c r="J110" s="63" t="s">
        <v>37</v>
      </c>
    </row>
    <row r="111" spans="1:10" ht="13">
      <c r="A111" s="8" t="s">
        <v>5</v>
      </c>
      <c r="B111" s="104" t="s">
        <v>185</v>
      </c>
      <c r="C111" s="104"/>
      <c r="D111" s="104"/>
      <c r="E111" s="104"/>
      <c r="F111" s="104"/>
      <c r="G111" s="104"/>
      <c r="H111" s="104"/>
      <c r="I111" s="104"/>
      <c r="J111" s="16">
        <f>Descritivo!E48</f>
        <v>91.369065656565652</v>
      </c>
    </row>
    <row r="112" spans="1:10" ht="13">
      <c r="A112" s="8" t="s">
        <v>7</v>
      </c>
      <c r="B112" s="104" t="s">
        <v>99</v>
      </c>
      <c r="C112" s="104"/>
      <c r="D112" s="104"/>
      <c r="E112" s="104"/>
      <c r="F112" s="104"/>
      <c r="G112" s="104"/>
      <c r="H112" s="104"/>
      <c r="I112" s="104"/>
      <c r="J112" s="27">
        <f>Descritivo!D93</f>
        <v>116.16919191919192</v>
      </c>
    </row>
    <row r="113" spans="1:10" ht="13">
      <c r="A113" s="8" t="s">
        <v>9</v>
      </c>
      <c r="B113" s="104" t="s">
        <v>139</v>
      </c>
      <c r="C113" s="104"/>
      <c r="D113" s="104"/>
      <c r="E113" s="104"/>
      <c r="F113" s="104"/>
      <c r="G113" s="104"/>
      <c r="H113" s="104"/>
      <c r="I113" s="104"/>
      <c r="J113" s="27">
        <f>Descritivo!C101</f>
        <v>36.363636363636367</v>
      </c>
    </row>
    <row r="114" spans="1:10" ht="13">
      <c r="A114" s="8" t="s">
        <v>12</v>
      </c>
      <c r="B114" s="104" t="s">
        <v>100</v>
      </c>
      <c r="C114" s="104"/>
      <c r="D114" s="104"/>
      <c r="E114" s="104"/>
      <c r="F114" s="104"/>
      <c r="G114" s="104"/>
      <c r="H114" s="104"/>
      <c r="I114" s="104"/>
      <c r="J114" s="27"/>
    </row>
    <row r="115" spans="1:10" ht="13">
      <c r="A115" s="105" t="s">
        <v>32</v>
      </c>
      <c r="B115" s="105"/>
      <c r="C115" s="105"/>
      <c r="D115" s="105"/>
      <c r="E115" s="105"/>
      <c r="F115" s="105"/>
      <c r="G115" s="105"/>
      <c r="H115" s="105"/>
      <c r="I115" s="105"/>
      <c r="J115" s="38">
        <f>SUM(J111:J114)</f>
        <v>243.90189393939394</v>
      </c>
    </row>
    <row r="116" spans="1:10" ht="13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</row>
    <row r="117" spans="1:10" ht="16.149999999999999" customHeight="1">
      <c r="A117" s="112" t="s">
        <v>101</v>
      </c>
      <c r="B117" s="112"/>
      <c r="C117" s="112"/>
      <c r="D117" s="112"/>
      <c r="E117" s="112"/>
      <c r="F117" s="112"/>
      <c r="G117" s="112"/>
      <c r="H117" s="112"/>
      <c r="I117" s="112"/>
      <c r="J117" s="112"/>
    </row>
    <row r="118" spans="1:10" ht="28">
      <c r="A118" s="63">
        <v>6</v>
      </c>
      <c r="B118" s="113" t="s">
        <v>102</v>
      </c>
      <c r="C118" s="113"/>
      <c r="D118" s="113"/>
      <c r="E118" s="113"/>
      <c r="F118" s="113"/>
      <c r="G118" s="113"/>
      <c r="H118" s="113"/>
      <c r="I118" s="64" t="s">
        <v>44</v>
      </c>
      <c r="J118" s="39" t="s">
        <v>103</v>
      </c>
    </row>
    <row r="119" spans="1:10" ht="12.75" customHeight="1">
      <c r="A119" s="111" t="s">
        <v>104</v>
      </c>
      <c r="B119" s="111"/>
      <c r="C119" s="111"/>
      <c r="D119" s="111"/>
      <c r="E119" s="111"/>
      <c r="F119" s="111"/>
      <c r="G119" s="111"/>
      <c r="H119" s="111"/>
      <c r="I119" s="40" t="s">
        <v>64</v>
      </c>
      <c r="J119" s="41">
        <f>SUM(J30+J71+J81+J107+J115)</f>
        <v>2157.2221886060606</v>
      </c>
    </row>
    <row r="120" spans="1:10" ht="15.5">
      <c r="A120" s="42" t="s">
        <v>5</v>
      </c>
      <c r="B120" s="110" t="s">
        <v>105</v>
      </c>
      <c r="C120" s="110"/>
      <c r="D120" s="110"/>
      <c r="E120" s="110"/>
      <c r="F120" s="110"/>
      <c r="G120" s="110"/>
      <c r="H120" s="110"/>
      <c r="I120" s="15">
        <v>0.1091</v>
      </c>
      <c r="J120" s="16">
        <f>ROUND(I120*J119,2)</f>
        <v>235.35</v>
      </c>
    </row>
    <row r="121" spans="1:10" ht="12.75" customHeight="1">
      <c r="A121" s="111" t="s">
        <v>106</v>
      </c>
      <c r="B121" s="111"/>
      <c r="C121" s="111"/>
      <c r="D121" s="111"/>
      <c r="E121" s="111"/>
      <c r="F121" s="111"/>
      <c r="G121" s="111"/>
      <c r="H121" s="111"/>
      <c r="I121" s="43" t="s">
        <v>64</v>
      </c>
      <c r="J121" s="41">
        <f>SUM(J30+J71+J81+J107+J115+J120)</f>
        <v>2392.5721886060605</v>
      </c>
    </row>
    <row r="122" spans="1:10" ht="15.5">
      <c r="A122" s="42" t="s">
        <v>7</v>
      </c>
      <c r="B122" s="110" t="s">
        <v>107</v>
      </c>
      <c r="C122" s="110"/>
      <c r="D122" s="110"/>
      <c r="E122" s="110"/>
      <c r="F122" s="110"/>
      <c r="G122" s="110"/>
      <c r="H122" s="110"/>
      <c r="I122" s="20">
        <v>0.15109700000000001</v>
      </c>
      <c r="J122" s="16">
        <f>ROUND(I122*J121,2)</f>
        <v>361.51</v>
      </c>
    </row>
    <row r="123" spans="1:10" ht="12.75" customHeight="1">
      <c r="A123" s="111" t="s">
        <v>108</v>
      </c>
      <c r="B123" s="111"/>
      <c r="C123" s="111"/>
      <c r="D123" s="111"/>
      <c r="E123" s="111"/>
      <c r="F123" s="111"/>
      <c r="G123" s="111"/>
      <c r="H123" s="111"/>
      <c r="I123" s="43" t="s">
        <v>64</v>
      </c>
      <c r="J123" s="41">
        <f>SUM(J30+J71+J81+J107+J115+J120+J122)</f>
        <v>2754.0821886060603</v>
      </c>
    </row>
    <row r="124" spans="1:10" ht="15.5">
      <c r="A124" s="42" t="s">
        <v>9</v>
      </c>
      <c r="B124" s="110" t="s">
        <v>109</v>
      </c>
      <c r="C124" s="110"/>
      <c r="D124" s="110"/>
      <c r="E124" s="110"/>
      <c r="F124" s="110"/>
      <c r="G124" s="110"/>
      <c r="H124" s="110"/>
      <c r="I124" s="9" t="s">
        <v>64</v>
      </c>
      <c r="J124" s="51" t="s">
        <v>64</v>
      </c>
    </row>
    <row r="125" spans="1:10" ht="13">
      <c r="A125" s="8"/>
      <c r="B125" s="104" t="s">
        <v>110</v>
      </c>
      <c r="C125" s="104"/>
      <c r="D125" s="104"/>
      <c r="E125" s="104"/>
      <c r="F125" s="104"/>
      <c r="G125" s="104"/>
      <c r="H125" s="104"/>
      <c r="I125" s="9" t="s">
        <v>64</v>
      </c>
      <c r="J125" s="51" t="s">
        <v>64</v>
      </c>
    </row>
    <row r="126" spans="1:10" ht="13">
      <c r="A126" s="8"/>
      <c r="B126" s="104" t="s">
        <v>111</v>
      </c>
      <c r="C126" s="104"/>
      <c r="D126" s="104"/>
      <c r="E126" s="104"/>
      <c r="F126" s="104"/>
      <c r="G126" s="104"/>
      <c r="H126" s="104"/>
      <c r="I126" s="44">
        <v>0.03</v>
      </c>
      <c r="J126" s="16">
        <f>ROUND(($J$123/(1-$I$135))*I126,2)</f>
        <v>90.45</v>
      </c>
    </row>
    <row r="127" spans="1:10" ht="13">
      <c r="A127" s="8"/>
      <c r="B127" s="104" t="s">
        <v>112</v>
      </c>
      <c r="C127" s="104"/>
      <c r="D127" s="104"/>
      <c r="E127" s="104"/>
      <c r="F127" s="104"/>
      <c r="G127" s="104"/>
      <c r="H127" s="104"/>
      <c r="I127" s="44">
        <v>6.4999999999999997E-3</v>
      </c>
      <c r="J127" s="16">
        <f>ROUND(($J$123/(1-$I$135))*I127,2)</f>
        <v>19.600000000000001</v>
      </c>
    </row>
    <row r="128" spans="1:10" ht="27.65" customHeight="1">
      <c r="A128" s="8"/>
      <c r="B128" s="109" t="s">
        <v>113</v>
      </c>
      <c r="C128" s="109"/>
      <c r="D128" s="109"/>
      <c r="E128" s="109"/>
      <c r="F128" s="109"/>
      <c r="G128" s="109"/>
      <c r="H128" s="109"/>
      <c r="I128" s="45" t="s">
        <v>64</v>
      </c>
      <c r="J128" s="51" t="s">
        <v>64</v>
      </c>
    </row>
    <row r="129" spans="1:10" ht="27.65" customHeight="1">
      <c r="A129" s="8"/>
      <c r="B129" s="109" t="s">
        <v>114</v>
      </c>
      <c r="C129" s="109"/>
      <c r="D129" s="109"/>
      <c r="E129" s="109"/>
      <c r="F129" s="109"/>
      <c r="G129" s="109"/>
      <c r="H129" s="109"/>
      <c r="I129" s="45" t="s">
        <v>64</v>
      </c>
      <c r="J129" s="51" t="s">
        <v>64</v>
      </c>
    </row>
    <row r="130" spans="1:10" ht="13">
      <c r="A130" s="8"/>
      <c r="B130" s="104" t="s">
        <v>115</v>
      </c>
      <c r="C130" s="104"/>
      <c r="D130" s="104"/>
      <c r="E130" s="104"/>
      <c r="F130" s="104"/>
      <c r="G130" s="104"/>
      <c r="H130" s="104"/>
      <c r="I130" s="45" t="s">
        <v>64</v>
      </c>
      <c r="J130" s="51" t="s">
        <v>64</v>
      </c>
    </row>
    <row r="131" spans="1:10" ht="13">
      <c r="A131" s="8"/>
      <c r="B131" s="104" t="s">
        <v>116</v>
      </c>
      <c r="C131" s="104"/>
      <c r="D131" s="104"/>
      <c r="E131" s="104"/>
      <c r="F131" s="104"/>
      <c r="G131" s="104"/>
      <c r="H131" s="104"/>
      <c r="I131" s="45" t="s">
        <v>64</v>
      </c>
      <c r="J131" s="51" t="s">
        <v>64</v>
      </c>
    </row>
    <row r="132" spans="1:10" ht="13">
      <c r="A132" s="8"/>
      <c r="B132" s="104" t="s">
        <v>134</v>
      </c>
      <c r="C132" s="104"/>
      <c r="D132" s="104"/>
      <c r="E132" s="104"/>
      <c r="F132" s="104"/>
      <c r="G132" s="104"/>
      <c r="H132" s="104"/>
      <c r="I132" s="44">
        <v>0.05</v>
      </c>
      <c r="J132" s="16">
        <f>ROUND(($J$123/(1-$I$135))*I132,2)</f>
        <v>150.74</v>
      </c>
    </row>
    <row r="133" spans="1:10" ht="13">
      <c r="A133" s="105" t="s">
        <v>40</v>
      </c>
      <c r="B133" s="105"/>
      <c r="C133" s="105"/>
      <c r="D133" s="105"/>
      <c r="E133" s="105"/>
      <c r="F133" s="105"/>
      <c r="G133" s="105"/>
      <c r="H133" s="105"/>
      <c r="I133" s="105"/>
      <c r="J133" s="14">
        <f>SUM(J120+J122+J126+J127+J132)</f>
        <v>857.65000000000009</v>
      </c>
    </row>
    <row r="134" spans="1:10" ht="13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</row>
    <row r="135" spans="1:10" ht="14.65" customHeight="1">
      <c r="A135" s="106" t="s">
        <v>117</v>
      </c>
      <c r="B135" s="106"/>
      <c r="C135" s="106"/>
      <c r="D135" s="106"/>
      <c r="E135" s="106"/>
      <c r="F135" s="106"/>
      <c r="G135" s="106"/>
      <c r="H135" s="106"/>
      <c r="I135" s="46">
        <f>SUM(I126:I132)</f>
        <v>8.6499999999999994E-2</v>
      </c>
      <c r="J135" s="41">
        <f>SUM(J126:J132)</f>
        <v>260.79000000000002</v>
      </c>
    </row>
    <row r="136" spans="1:10">
      <c r="A136" s="107" t="s">
        <v>118</v>
      </c>
      <c r="B136" s="107"/>
      <c r="C136" s="107"/>
      <c r="D136" s="108" t="s">
        <v>119</v>
      </c>
      <c r="E136" s="108"/>
      <c r="F136" s="108"/>
      <c r="G136" s="108"/>
      <c r="H136" s="108"/>
      <c r="I136" s="108"/>
      <c r="J136" s="108"/>
    </row>
    <row r="137" spans="1:10">
      <c r="A137" s="107"/>
      <c r="B137" s="107"/>
      <c r="C137" s="107"/>
      <c r="D137" s="108" t="s">
        <v>120</v>
      </c>
      <c r="E137" s="108"/>
      <c r="F137" s="108"/>
      <c r="G137" s="108"/>
      <c r="H137" s="108"/>
      <c r="I137" s="108"/>
      <c r="J137" s="108"/>
    </row>
    <row r="138" spans="1:10">
      <c r="A138" s="107"/>
      <c r="B138" s="107"/>
      <c r="C138" s="107"/>
      <c r="D138" s="108" t="s">
        <v>121</v>
      </c>
      <c r="E138" s="108"/>
      <c r="F138" s="108"/>
      <c r="G138" s="108"/>
      <c r="H138" s="108"/>
      <c r="I138" s="108"/>
      <c r="J138" s="108"/>
    </row>
    <row r="139" spans="1:10" ht="13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</row>
    <row r="140" spans="1:10" ht="46" customHeight="1">
      <c r="A140" s="102" t="s">
        <v>122</v>
      </c>
      <c r="B140" s="102"/>
      <c r="C140" s="102"/>
      <c r="D140" s="102"/>
      <c r="E140" s="102"/>
      <c r="F140" s="102"/>
      <c r="G140" s="102"/>
      <c r="H140" s="102"/>
      <c r="I140" s="102"/>
      <c r="J140" s="102"/>
    </row>
    <row r="141" spans="1:10" ht="14.65" customHeight="1">
      <c r="A141" s="103" t="s">
        <v>123</v>
      </c>
      <c r="B141" s="103"/>
      <c r="C141" s="103"/>
      <c r="D141" s="103"/>
      <c r="E141" s="103"/>
      <c r="F141" s="103"/>
      <c r="G141" s="103"/>
      <c r="H141" s="103"/>
      <c r="I141" s="103"/>
      <c r="J141" s="47" t="s">
        <v>37</v>
      </c>
    </row>
    <row r="142" spans="1:10" ht="14.65" customHeight="1">
      <c r="A142" s="48" t="s">
        <v>5</v>
      </c>
      <c r="B142" s="99" t="s">
        <v>124</v>
      </c>
      <c r="C142" s="99"/>
      <c r="D142" s="99"/>
      <c r="E142" s="99"/>
      <c r="F142" s="99"/>
      <c r="G142" s="99"/>
      <c r="H142" s="99"/>
      <c r="I142" s="99"/>
      <c r="J142" s="27">
        <f>J30</f>
        <v>909.86</v>
      </c>
    </row>
    <row r="143" spans="1:10" ht="14.65" customHeight="1">
      <c r="A143" s="48" t="s">
        <v>7</v>
      </c>
      <c r="B143" s="99" t="s">
        <v>33</v>
      </c>
      <c r="C143" s="99"/>
      <c r="D143" s="99"/>
      <c r="E143" s="99"/>
      <c r="F143" s="99"/>
      <c r="G143" s="99"/>
      <c r="H143" s="99"/>
      <c r="I143" s="99"/>
      <c r="J143" s="27">
        <f>J71</f>
        <v>880.71999999999991</v>
      </c>
    </row>
    <row r="144" spans="1:10" ht="14.65" customHeight="1">
      <c r="A144" s="48" t="s">
        <v>9</v>
      </c>
      <c r="B144" s="99" t="s">
        <v>125</v>
      </c>
      <c r="C144" s="99"/>
      <c r="D144" s="99"/>
      <c r="E144" s="99"/>
      <c r="F144" s="99"/>
      <c r="G144" s="99"/>
      <c r="H144" s="99"/>
      <c r="I144" s="99"/>
      <c r="J144" s="27">
        <f>J81</f>
        <v>38.564586111111112</v>
      </c>
    </row>
    <row r="145" spans="1:12" ht="14.65" customHeight="1">
      <c r="A145" s="48" t="s">
        <v>12</v>
      </c>
      <c r="B145" s="99" t="s">
        <v>126</v>
      </c>
      <c r="C145" s="99"/>
      <c r="D145" s="99"/>
      <c r="E145" s="99"/>
      <c r="F145" s="99"/>
      <c r="G145" s="99"/>
      <c r="H145" s="99"/>
      <c r="I145" s="99"/>
      <c r="J145" s="27">
        <f>J107</f>
        <v>84.175708555555559</v>
      </c>
    </row>
    <row r="146" spans="1:12" ht="14.65" customHeight="1">
      <c r="A146" s="48" t="s">
        <v>29</v>
      </c>
      <c r="B146" s="99" t="s">
        <v>127</v>
      </c>
      <c r="C146" s="99"/>
      <c r="D146" s="99"/>
      <c r="E146" s="99"/>
      <c r="F146" s="99"/>
      <c r="G146" s="99"/>
      <c r="H146" s="99"/>
      <c r="I146" s="99"/>
      <c r="J146" s="27">
        <f>J115</f>
        <v>243.90189393939394</v>
      </c>
    </row>
    <row r="147" spans="1:12" ht="14.65" customHeight="1">
      <c r="A147" s="100" t="s">
        <v>128</v>
      </c>
      <c r="B147" s="100"/>
      <c r="C147" s="100"/>
      <c r="D147" s="100"/>
      <c r="E147" s="100"/>
      <c r="F147" s="100"/>
      <c r="G147" s="100"/>
      <c r="H147" s="100"/>
      <c r="I147" s="100"/>
      <c r="J147" s="38">
        <f>SUM(J142:J146)</f>
        <v>2157.2221886060606</v>
      </c>
    </row>
    <row r="148" spans="1:12" ht="14.65" customHeight="1">
      <c r="A148" s="48" t="s">
        <v>53</v>
      </c>
      <c r="B148" s="99" t="s">
        <v>129</v>
      </c>
      <c r="C148" s="99"/>
      <c r="D148" s="99"/>
      <c r="E148" s="99"/>
      <c r="F148" s="99"/>
      <c r="G148" s="99"/>
      <c r="H148" s="99"/>
      <c r="I148" s="99"/>
      <c r="J148" s="27">
        <f>J133</f>
        <v>857.65000000000009</v>
      </c>
    </row>
    <row r="149" spans="1:12" ht="14.65" customHeight="1">
      <c r="A149" s="100" t="s">
        <v>130</v>
      </c>
      <c r="B149" s="100"/>
      <c r="C149" s="100"/>
      <c r="D149" s="100"/>
      <c r="E149" s="100"/>
      <c r="F149" s="100"/>
      <c r="G149" s="100"/>
      <c r="H149" s="100"/>
      <c r="I149" s="100"/>
      <c r="J149" s="38">
        <f>SUM(J147:J148)</f>
        <v>3014.8721886060607</v>
      </c>
    </row>
    <row r="150" spans="1:12" ht="27.5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A1:J1"/>
    <mergeCell ref="A2:J2"/>
    <mergeCell ref="A3:G3"/>
    <mergeCell ref="H3:J3"/>
    <mergeCell ref="A4:G4"/>
    <mergeCell ref="H4:J4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60:H60"/>
    <mergeCell ref="B61:I61"/>
    <mergeCell ref="B62:I62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A6979-DB51-45EA-8AC1-054BEEBA6654}">
  <sheetPr>
    <tabColor rgb="FF002060"/>
    <pageSetUpPr fitToPage="1"/>
  </sheetPr>
  <dimension ref="A1:J130"/>
  <sheetViews>
    <sheetView tabSelected="1" view="pageBreakPreview" topLeftCell="G22" zoomScaleNormal="100" zoomScaleSheetLayoutView="100" zoomScalePageLayoutView="118" workbookViewId="0">
      <selection activeCell="H25" sqref="H25"/>
    </sheetView>
  </sheetViews>
  <sheetFormatPr defaultRowHeight="12.5"/>
  <cols>
    <col min="1" max="1" width="6.54296875" customWidth="1"/>
    <col min="2" max="2" width="26.26953125" bestFit="1" customWidth="1"/>
    <col min="3" max="3" width="16.26953125" customWidth="1"/>
    <col min="4" max="4" width="15.7265625" customWidth="1"/>
    <col min="5" max="5" width="20.26953125" customWidth="1"/>
    <col min="6" max="6" width="14.81640625" customWidth="1"/>
    <col min="7" max="7" width="31.26953125" customWidth="1"/>
    <col min="8" max="8" width="21.26953125" customWidth="1"/>
    <col min="9" max="9" width="8.7265625" customWidth="1"/>
    <col min="10" max="10" width="16" customWidth="1"/>
    <col min="11" max="1023" width="8.7265625" customWidth="1"/>
  </cols>
  <sheetData>
    <row r="1" spans="1:10" ht="18.75" customHeight="1" thickBot="1">
      <c r="A1" s="155" t="s">
        <v>146</v>
      </c>
      <c r="B1" s="155"/>
      <c r="C1" s="155"/>
      <c r="D1" s="155"/>
      <c r="E1" s="155"/>
      <c r="F1" s="155"/>
      <c r="G1" s="155"/>
    </row>
    <row r="2" spans="1:10" ht="76.5" customHeight="1">
      <c r="A2" s="71" t="s">
        <v>187</v>
      </c>
      <c r="B2" s="72" t="s">
        <v>147</v>
      </c>
      <c r="C2" s="72" t="s">
        <v>148</v>
      </c>
      <c r="D2" s="72" t="s">
        <v>149</v>
      </c>
      <c r="E2" s="72" t="s">
        <v>150</v>
      </c>
      <c r="F2" s="72" t="s">
        <v>151</v>
      </c>
      <c r="G2" s="72" t="s">
        <v>152</v>
      </c>
      <c r="H2" s="73" t="s">
        <v>153</v>
      </c>
    </row>
    <row r="3" spans="1:10" ht="15.75" customHeight="1">
      <c r="A3" s="74" t="s">
        <v>154</v>
      </c>
      <c r="B3" s="75" t="s">
        <v>165</v>
      </c>
      <c r="C3" s="76">
        <f>Almoxarife!J149</f>
        <v>4738.4317411616166</v>
      </c>
      <c r="D3" s="74">
        <v>1</v>
      </c>
      <c r="E3" s="76">
        <f>C3*D3</f>
        <v>4738.4317411616166</v>
      </c>
      <c r="F3" s="74">
        <v>1</v>
      </c>
      <c r="G3" s="76">
        <f t="shared" ref="G3:G23" si="0">PRODUCT(E3:F3)</f>
        <v>4738.4317411616166</v>
      </c>
      <c r="H3" s="77">
        <f>PRODUCT(G3:G3)*12</f>
        <v>56861.180893939396</v>
      </c>
    </row>
    <row r="4" spans="1:10" ht="15.75" customHeight="1">
      <c r="A4" s="74" t="s">
        <v>194</v>
      </c>
      <c r="B4" s="75" t="s">
        <v>166</v>
      </c>
      <c r="C4" s="76">
        <f>'Aux Eletri 44'!J149</f>
        <v>4757.3759124282824</v>
      </c>
      <c r="D4" s="74">
        <v>1</v>
      </c>
      <c r="E4" s="76">
        <f t="shared" ref="E4:E23" si="1">C4*D4</f>
        <v>4757.3759124282824</v>
      </c>
      <c r="F4" s="74">
        <v>3</v>
      </c>
      <c r="G4" s="76">
        <f t="shared" si="0"/>
        <v>14272.127737284847</v>
      </c>
      <c r="H4" s="77">
        <f t="shared" ref="H4:H23" si="2">PRODUCT(G4:G4)*12</f>
        <v>171265.53284741816</v>
      </c>
    </row>
    <row r="5" spans="1:10" ht="15.75" customHeight="1">
      <c r="A5" s="74" t="s">
        <v>195</v>
      </c>
      <c r="B5" s="75" t="s">
        <v>196</v>
      </c>
      <c r="C5" s="76">
        <f>'Aux Eletri 40'!J149</f>
        <v>4340.3215781949493</v>
      </c>
      <c r="D5" s="74">
        <v>1</v>
      </c>
      <c r="E5" s="76">
        <f t="shared" ref="E5" si="3">C5*D5</f>
        <v>4340.3215781949493</v>
      </c>
      <c r="F5" s="74">
        <v>1</v>
      </c>
      <c r="G5" s="76">
        <f t="shared" ref="G5" si="4">PRODUCT(E5:F5)</f>
        <v>4340.3215781949493</v>
      </c>
      <c r="H5" s="77">
        <f t="shared" ref="H5" si="5">PRODUCT(G5:G5)*12</f>
        <v>52083.858938339392</v>
      </c>
    </row>
    <row r="6" spans="1:10" ht="15.75" customHeight="1">
      <c r="A6" s="74" t="s">
        <v>197</v>
      </c>
      <c r="B6" s="75" t="s">
        <v>167</v>
      </c>
      <c r="C6" s="76">
        <f>'Auxiliar de Refrigeração 44'!J149</f>
        <v>4757.3759124282824</v>
      </c>
      <c r="D6" s="74">
        <v>1</v>
      </c>
      <c r="E6" s="76">
        <f t="shared" si="1"/>
        <v>4757.3759124282824</v>
      </c>
      <c r="F6" s="74">
        <v>3</v>
      </c>
      <c r="G6" s="76">
        <f t="shared" si="0"/>
        <v>14272.127737284847</v>
      </c>
      <c r="H6" s="77">
        <f t="shared" si="2"/>
        <v>171265.53284741816</v>
      </c>
    </row>
    <row r="7" spans="1:10" ht="15.75" customHeight="1">
      <c r="A7" s="74" t="s">
        <v>198</v>
      </c>
      <c r="B7" s="75" t="s">
        <v>201</v>
      </c>
      <c r="C7" s="76">
        <f>'Auxiliar de Refrigeração 40'!J149</f>
        <v>4340.3215781949493</v>
      </c>
      <c r="D7" s="74">
        <v>1</v>
      </c>
      <c r="E7" s="76">
        <f t="shared" ref="E7" si="6">C7*D7</f>
        <v>4340.3215781949493</v>
      </c>
      <c r="F7" s="74">
        <v>1</v>
      </c>
      <c r="G7" s="76">
        <f t="shared" ref="G7" si="7">PRODUCT(E7:F7)</f>
        <v>4340.3215781949493</v>
      </c>
      <c r="H7" s="77">
        <f t="shared" ref="H7" si="8">PRODUCT(G7:G7)*12</f>
        <v>52083.858938339392</v>
      </c>
      <c r="J7">
        <f>SUM(F3:F23)</f>
        <v>33</v>
      </c>
    </row>
    <row r="8" spans="1:10" ht="15.75" customHeight="1">
      <c r="A8" s="74" t="s">
        <v>199</v>
      </c>
      <c r="B8" s="75" t="s">
        <v>168</v>
      </c>
      <c r="C8" s="76">
        <f>'Auxiliar produção (servente) 44'!J149</f>
        <v>4757.3759124282824</v>
      </c>
      <c r="D8" s="74">
        <v>1</v>
      </c>
      <c r="E8" s="76">
        <f t="shared" si="1"/>
        <v>4757.3759124282824</v>
      </c>
      <c r="F8" s="74">
        <v>3</v>
      </c>
      <c r="G8" s="76">
        <f t="shared" si="0"/>
        <v>14272.127737284847</v>
      </c>
      <c r="H8" s="77">
        <f t="shared" si="2"/>
        <v>171265.53284741816</v>
      </c>
    </row>
    <row r="9" spans="1:10" ht="15.75" customHeight="1">
      <c r="A9" s="74" t="s">
        <v>200</v>
      </c>
      <c r="B9" s="75" t="s">
        <v>202</v>
      </c>
      <c r="C9" s="76">
        <f>'Auxiliar produção (servente) 40'!J149</f>
        <v>4340.3215781949493</v>
      </c>
      <c r="D9" s="74">
        <v>1</v>
      </c>
      <c r="E9" s="76">
        <f t="shared" ref="E9" si="9">C9*D9</f>
        <v>4340.3215781949493</v>
      </c>
      <c r="F9" s="74">
        <v>1</v>
      </c>
      <c r="G9" s="76">
        <f t="shared" ref="G9" si="10">PRODUCT(E9:F9)</f>
        <v>4340.3215781949493</v>
      </c>
      <c r="H9" s="77">
        <f t="shared" ref="H9" si="11">PRODUCT(G9:G9)*12</f>
        <v>52083.858938339392</v>
      </c>
    </row>
    <row r="10" spans="1:10" ht="15.75" customHeight="1">
      <c r="A10" s="74" t="s">
        <v>203</v>
      </c>
      <c r="B10" s="75" t="s">
        <v>169</v>
      </c>
      <c r="C10" s="76">
        <f>'Bombeiro Hidraulico 44'!J149</f>
        <v>5521.4714017727274</v>
      </c>
      <c r="D10" s="74">
        <v>1</v>
      </c>
      <c r="E10" s="76">
        <f t="shared" si="1"/>
        <v>5521.4714017727274</v>
      </c>
      <c r="F10" s="74">
        <v>2</v>
      </c>
      <c r="G10" s="76">
        <f>PRODUCT(E10:F10)</f>
        <v>11042.942803545455</v>
      </c>
      <c r="H10" s="77">
        <f t="shared" si="2"/>
        <v>132515.31364254546</v>
      </c>
    </row>
    <row r="11" spans="1:10" ht="15.75" customHeight="1">
      <c r="A11" s="74" t="s">
        <v>155</v>
      </c>
      <c r="B11" s="75" t="s">
        <v>142</v>
      </c>
      <c r="C11" s="76">
        <f>'Engenheiro Civil'!J149</f>
        <v>8129.4679317171722</v>
      </c>
      <c r="D11" s="74">
        <v>1</v>
      </c>
      <c r="E11" s="76">
        <f t="shared" si="1"/>
        <v>8129.4679317171722</v>
      </c>
      <c r="F11" s="74">
        <v>1</v>
      </c>
      <c r="G11" s="76">
        <f t="shared" si="0"/>
        <v>8129.4679317171722</v>
      </c>
      <c r="H11" s="77">
        <f t="shared" si="2"/>
        <v>97553.615180606066</v>
      </c>
    </row>
    <row r="12" spans="1:10" ht="15.75" customHeight="1">
      <c r="A12" s="74" t="s">
        <v>156</v>
      </c>
      <c r="B12" s="75" t="s">
        <v>170</v>
      </c>
      <c r="C12" s="76">
        <f>'Engenheiro Eletricista'!J149</f>
        <v>8129.4679317171722</v>
      </c>
      <c r="D12" s="74">
        <v>1</v>
      </c>
      <c r="E12" s="76">
        <f t="shared" si="1"/>
        <v>8129.4679317171722</v>
      </c>
      <c r="F12" s="74">
        <v>1</v>
      </c>
      <c r="G12" s="76">
        <f t="shared" si="0"/>
        <v>8129.4679317171722</v>
      </c>
      <c r="H12" s="77">
        <f t="shared" si="2"/>
        <v>97553.615180606066</v>
      </c>
    </row>
    <row r="13" spans="1:10">
      <c r="A13" s="74" t="s">
        <v>157</v>
      </c>
      <c r="B13" s="75" t="s">
        <v>171</v>
      </c>
      <c r="C13" s="76">
        <f>'Engenheiro Mecanico'!J149</f>
        <v>6349.8164291060602</v>
      </c>
      <c r="D13" s="74">
        <v>1</v>
      </c>
      <c r="E13" s="76">
        <f t="shared" si="1"/>
        <v>6349.8164291060602</v>
      </c>
      <c r="F13" s="74">
        <v>1</v>
      </c>
      <c r="G13" s="76">
        <f t="shared" si="0"/>
        <v>6349.8164291060602</v>
      </c>
      <c r="H13" s="77">
        <f t="shared" si="2"/>
        <v>76197.797149272723</v>
      </c>
    </row>
    <row r="14" spans="1:10">
      <c r="A14" s="84" t="s">
        <v>158</v>
      </c>
      <c r="B14" s="85" t="s">
        <v>172</v>
      </c>
      <c r="C14" s="86">
        <f>Gesseiro!J149</f>
        <v>5521.4714017727274</v>
      </c>
      <c r="D14" s="84">
        <v>1</v>
      </c>
      <c r="E14" s="76">
        <f t="shared" si="1"/>
        <v>5521.4714017727274</v>
      </c>
      <c r="F14" s="84">
        <v>1</v>
      </c>
      <c r="G14" s="76">
        <f t="shared" si="0"/>
        <v>5521.4714017727274</v>
      </c>
      <c r="H14" s="77">
        <f t="shared" si="2"/>
        <v>66257.656821272729</v>
      </c>
    </row>
    <row r="15" spans="1:10">
      <c r="A15" s="84" t="s">
        <v>159</v>
      </c>
      <c r="B15" s="85" t="s">
        <v>173</v>
      </c>
      <c r="C15" s="86">
        <f>Marceneiro!J149</f>
        <v>5521.4714017727274</v>
      </c>
      <c r="D15" s="84">
        <v>1</v>
      </c>
      <c r="E15" s="76">
        <f t="shared" si="1"/>
        <v>5521.4714017727274</v>
      </c>
      <c r="F15" s="84">
        <v>1</v>
      </c>
      <c r="G15" s="76">
        <f t="shared" si="0"/>
        <v>5521.4714017727274</v>
      </c>
      <c r="H15" s="77">
        <f t="shared" si="2"/>
        <v>66257.656821272729</v>
      </c>
    </row>
    <row r="16" spans="1:10">
      <c r="A16" s="84" t="s">
        <v>204</v>
      </c>
      <c r="B16" s="85" t="s">
        <v>176</v>
      </c>
      <c r="C16" s="86">
        <f>'Mecânico de Refrigeração 44'!J149</f>
        <v>5521.4714017727274</v>
      </c>
      <c r="D16" s="84">
        <v>1</v>
      </c>
      <c r="E16" s="76">
        <f t="shared" si="1"/>
        <v>5521.4714017727274</v>
      </c>
      <c r="F16" s="84">
        <v>3</v>
      </c>
      <c r="G16" s="76">
        <f t="shared" si="0"/>
        <v>16564.414205318182</v>
      </c>
      <c r="H16" s="77">
        <f t="shared" si="2"/>
        <v>198772.97046381817</v>
      </c>
    </row>
    <row r="17" spans="1:10">
      <c r="A17" s="84" t="s">
        <v>205</v>
      </c>
      <c r="B17" s="85" t="s">
        <v>176</v>
      </c>
      <c r="C17" s="86">
        <f>'Mecânico de Refrigeração 40'!J149</f>
        <v>5034.8472427949491</v>
      </c>
      <c r="D17" s="84">
        <v>1</v>
      </c>
      <c r="E17" s="76">
        <f t="shared" ref="E17" si="12">C17*D17</f>
        <v>5034.8472427949491</v>
      </c>
      <c r="F17" s="84">
        <v>1</v>
      </c>
      <c r="G17" s="76">
        <f t="shared" ref="G17" si="13">PRODUCT(E17:F17)</f>
        <v>5034.8472427949491</v>
      </c>
      <c r="H17" s="77">
        <f t="shared" ref="H17" si="14">PRODUCT(G17:G17)*12</f>
        <v>60418.166913539389</v>
      </c>
    </row>
    <row r="18" spans="1:10">
      <c r="A18" s="84" t="s">
        <v>293</v>
      </c>
      <c r="B18" s="85" t="s">
        <v>177</v>
      </c>
      <c r="C18" s="86">
        <f>'Oficial de Manutenção Predia 44'!J149</f>
        <v>5521.4714017727274</v>
      </c>
      <c r="D18" s="84">
        <v>1</v>
      </c>
      <c r="E18" s="76">
        <f t="shared" si="1"/>
        <v>5521.4714017727274</v>
      </c>
      <c r="F18" s="84">
        <v>1</v>
      </c>
      <c r="G18" s="76">
        <f t="shared" si="0"/>
        <v>5521.4714017727274</v>
      </c>
      <c r="H18" s="77">
        <f t="shared" si="2"/>
        <v>66257.656821272729</v>
      </c>
    </row>
    <row r="19" spans="1:10">
      <c r="A19" s="84" t="s">
        <v>292</v>
      </c>
      <c r="B19" s="85" t="s">
        <v>294</v>
      </c>
      <c r="C19" s="86">
        <f>'Oficial de Manutenção Predi 40'!J149</f>
        <v>5034.8472427949491</v>
      </c>
      <c r="D19" s="84">
        <v>1</v>
      </c>
      <c r="E19" s="76">
        <f t="shared" ref="E19" si="15">C19*D19</f>
        <v>5034.8472427949491</v>
      </c>
      <c r="F19" s="84">
        <v>1</v>
      </c>
      <c r="G19" s="76">
        <f t="shared" ref="G19" si="16">PRODUCT(E19:F19)</f>
        <v>5034.8472427949491</v>
      </c>
      <c r="H19" s="77">
        <f t="shared" ref="H19" si="17">PRODUCT(G19:G19)*12</f>
        <v>60418.166913539389</v>
      </c>
    </row>
    <row r="20" spans="1:10">
      <c r="A20" s="84" t="s">
        <v>174</v>
      </c>
      <c r="B20" s="85" t="s">
        <v>178</v>
      </c>
      <c r="C20" s="86">
        <f>'Ténico em Edificações'!J149</f>
        <v>7718.261148161615</v>
      </c>
      <c r="D20" s="84">
        <v>1</v>
      </c>
      <c r="E20" s="76">
        <f t="shared" si="1"/>
        <v>7718.261148161615</v>
      </c>
      <c r="F20" s="84">
        <v>2</v>
      </c>
      <c r="G20" s="76">
        <f t="shared" si="0"/>
        <v>15436.52229632323</v>
      </c>
      <c r="H20" s="77">
        <f t="shared" si="2"/>
        <v>185238.26755587876</v>
      </c>
    </row>
    <row r="21" spans="1:10">
      <c r="A21" s="84" t="s">
        <v>206</v>
      </c>
      <c r="B21" s="85" t="s">
        <v>179</v>
      </c>
      <c r="C21" s="86">
        <f>'Técnico em Eletricidade 44'!J149</f>
        <v>5887.5946857727267</v>
      </c>
      <c r="D21" s="84">
        <v>1</v>
      </c>
      <c r="E21" s="76">
        <f t="shared" si="1"/>
        <v>5887.5946857727267</v>
      </c>
      <c r="F21" s="84">
        <v>3</v>
      </c>
      <c r="G21" s="76">
        <f t="shared" si="0"/>
        <v>17662.784057318182</v>
      </c>
      <c r="H21" s="77">
        <f t="shared" si="2"/>
        <v>211953.40868781818</v>
      </c>
    </row>
    <row r="22" spans="1:10">
      <c r="A22" s="84" t="s">
        <v>207</v>
      </c>
      <c r="B22" s="85" t="s">
        <v>179</v>
      </c>
      <c r="C22" s="86">
        <f>'Técnico em Eletricidade 40'!J149</f>
        <v>5367.7227016393936</v>
      </c>
      <c r="D22" s="84">
        <v>1</v>
      </c>
      <c r="E22" s="76">
        <f t="shared" ref="E22" si="18">C22*D22</f>
        <v>5367.7227016393936</v>
      </c>
      <c r="F22" s="84">
        <v>1</v>
      </c>
      <c r="G22" s="76">
        <f t="shared" ref="G22" si="19">PRODUCT(E22:F22)</f>
        <v>5367.7227016393936</v>
      </c>
      <c r="H22" s="77">
        <f t="shared" ref="H22" si="20">PRODUCT(G22:G22)*12</f>
        <v>64412.672419672723</v>
      </c>
      <c r="J22" s="91">
        <f>J24-H24</f>
        <v>-265947.61708560027</v>
      </c>
    </row>
    <row r="23" spans="1:10" ht="13" thickBot="1">
      <c r="A23" s="84" t="s">
        <v>175</v>
      </c>
      <c r="B23" s="85" t="s">
        <v>180</v>
      </c>
      <c r="C23" s="86">
        <f>'Técnico em Seg. do Trab.'!J149</f>
        <v>3014.8721886060607</v>
      </c>
      <c r="D23" s="84">
        <v>1</v>
      </c>
      <c r="E23" s="76">
        <f t="shared" si="1"/>
        <v>3014.8721886060607</v>
      </c>
      <c r="F23" s="84">
        <v>1</v>
      </c>
      <c r="G23" s="76">
        <f t="shared" si="0"/>
        <v>3014.8721886060607</v>
      </c>
      <c r="H23" s="77">
        <f t="shared" si="2"/>
        <v>36178.466263272727</v>
      </c>
    </row>
    <row r="24" spans="1:10" ht="13">
      <c r="A24" s="156" t="s">
        <v>160</v>
      </c>
      <c r="B24" s="156"/>
      <c r="C24" s="156"/>
      <c r="D24" s="156"/>
      <c r="E24" s="156"/>
      <c r="F24" s="156"/>
      <c r="G24" s="87">
        <f>SUM(G3:G23)</f>
        <v>178907.89892380001</v>
      </c>
      <c r="H24" s="88">
        <f>SUM(H3:H23)</f>
        <v>2146894.7870856002</v>
      </c>
      <c r="J24" s="57">
        <v>1880947.17</v>
      </c>
    </row>
    <row r="25" spans="1:10" ht="13">
      <c r="A25" s="89" t="s">
        <v>188</v>
      </c>
      <c r="B25" s="154" t="s">
        <v>189</v>
      </c>
      <c r="C25" s="154"/>
      <c r="D25" s="154"/>
      <c r="E25" s="154"/>
      <c r="F25" s="154"/>
      <c r="G25" s="154"/>
      <c r="H25" s="90">
        <f>H24*20%</f>
        <v>429378.95741712005</v>
      </c>
    </row>
    <row r="26" spans="1:10" ht="13">
      <c r="A26" s="89" t="s">
        <v>190</v>
      </c>
      <c r="B26" s="154" t="s">
        <v>193</v>
      </c>
      <c r="C26" s="154"/>
      <c r="D26" s="154"/>
      <c r="E26" s="154"/>
      <c r="F26" s="154"/>
      <c r="G26" s="154"/>
      <c r="H26" s="90">
        <f>H24*30%</f>
        <v>644068.43612567999</v>
      </c>
    </row>
    <row r="27" spans="1:10" ht="13.5" thickBot="1">
      <c r="A27" s="89" t="s">
        <v>191</v>
      </c>
      <c r="B27" s="154" t="s">
        <v>192</v>
      </c>
      <c r="C27" s="154"/>
      <c r="D27" s="154"/>
      <c r="E27" s="154"/>
      <c r="F27" s="154"/>
      <c r="G27" s="154"/>
      <c r="H27" s="90">
        <v>33000</v>
      </c>
    </row>
    <row r="28" spans="1:10" ht="18.75" customHeight="1" thickBot="1">
      <c r="A28" s="157" t="s">
        <v>161</v>
      </c>
      <c r="B28" s="157"/>
      <c r="C28" s="157"/>
      <c r="D28" s="157"/>
      <c r="E28" s="157"/>
      <c r="F28" s="157"/>
      <c r="G28" s="157"/>
    </row>
    <row r="29" spans="1:10" ht="13">
      <c r="A29" s="78" t="s">
        <v>5</v>
      </c>
      <c r="B29" s="158" t="s">
        <v>162</v>
      </c>
      <c r="C29" s="158"/>
      <c r="D29" s="158"/>
      <c r="E29" s="158"/>
      <c r="F29" s="158"/>
      <c r="G29" s="79">
        <f>G24</f>
        <v>178907.89892380001</v>
      </c>
      <c r="H29" s="79">
        <f>H27+H26+H25+H24</f>
        <v>3253342.1806284003</v>
      </c>
    </row>
    <row r="30" spans="1:10" ht="13.5" thickBot="1">
      <c r="A30" s="80" t="s">
        <v>7</v>
      </c>
      <c r="B30" s="159" t="s">
        <v>163</v>
      </c>
      <c r="C30" s="159"/>
      <c r="D30" s="159"/>
      <c r="E30" s="159"/>
      <c r="F30" s="159"/>
      <c r="G30" s="81">
        <v>12</v>
      </c>
      <c r="H30" s="81"/>
    </row>
    <row r="31" spans="1:10" ht="13.5" thickBot="1">
      <c r="A31" s="82" t="s">
        <v>9</v>
      </c>
      <c r="B31" s="153" t="s">
        <v>164</v>
      </c>
      <c r="C31" s="153"/>
      <c r="D31" s="153"/>
      <c r="E31" s="153"/>
      <c r="F31" s="153"/>
      <c r="G31" s="83">
        <f>H29</f>
        <v>3253342.1806284003</v>
      </c>
      <c r="H31" s="83"/>
    </row>
    <row r="32" spans="1:10">
      <c r="C32">
        <f>F4+F5+F21+F22+F12</f>
        <v>9</v>
      </c>
    </row>
    <row r="122" spans="8:9">
      <c r="I122" s="50"/>
    </row>
    <row r="124" spans="8:9">
      <c r="H124" s="50"/>
    </row>
    <row r="126" spans="8:9">
      <c r="H126" s="50"/>
    </row>
    <row r="130" spans="8:8">
      <c r="H130" s="50"/>
    </row>
  </sheetData>
  <mergeCells count="9">
    <mergeCell ref="B31:F31"/>
    <mergeCell ref="B25:G25"/>
    <mergeCell ref="B26:G26"/>
    <mergeCell ref="B27:G27"/>
    <mergeCell ref="A1:G1"/>
    <mergeCell ref="A24:F24"/>
    <mergeCell ref="A28:G28"/>
    <mergeCell ref="B29:F29"/>
    <mergeCell ref="B30:F30"/>
  </mergeCells>
  <pageMargins left="0.51180555555555496" right="0.51180555555555496" top="0.78749999999999998" bottom="0.78749999999999998" header="0.51180555555555496" footer="0.51180555555555496"/>
  <pageSetup paperSize="9" scale="53" firstPageNumber="0" fitToHeight="0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74061-DFED-4B75-A17C-81951EF8BF6D}">
  <dimension ref="A1:I122"/>
  <sheetViews>
    <sheetView topLeftCell="A83" workbookViewId="0">
      <selection activeCell="I122" sqref="I122"/>
    </sheetView>
  </sheetViews>
  <sheetFormatPr defaultRowHeight="12.5"/>
  <cols>
    <col min="1" max="1" width="28.7265625" customWidth="1"/>
    <col min="2" max="2" width="17.1796875" customWidth="1"/>
    <col min="3" max="3" width="16.81640625" customWidth="1"/>
    <col min="4" max="5" width="13.26953125" style="53" bestFit="1" customWidth="1"/>
    <col min="6" max="6" width="10.54296875" bestFit="1" customWidth="1"/>
  </cols>
  <sheetData>
    <row r="1" spans="1:8">
      <c r="A1" s="160" t="s">
        <v>209</v>
      </c>
      <c r="B1" s="160"/>
      <c r="C1" s="160"/>
      <c r="D1" s="160"/>
      <c r="E1" s="160"/>
      <c r="F1" s="160"/>
      <c r="G1" s="160"/>
      <c r="H1" s="160"/>
    </row>
    <row r="2" spans="1:8">
      <c r="A2" s="160"/>
      <c r="B2" s="160"/>
      <c r="C2" s="160"/>
      <c r="D2" s="160"/>
      <c r="E2" s="160"/>
      <c r="F2" s="160"/>
      <c r="G2" s="160"/>
      <c r="H2" s="160"/>
    </row>
    <row r="4" spans="1:8">
      <c r="A4" t="s">
        <v>212</v>
      </c>
      <c r="B4" t="s">
        <v>211</v>
      </c>
      <c r="C4" t="s">
        <v>210</v>
      </c>
    </row>
    <row r="5" spans="1:8">
      <c r="A5" t="s">
        <v>213</v>
      </c>
      <c r="B5">
        <v>3</v>
      </c>
      <c r="C5">
        <f>33-9</f>
        <v>24</v>
      </c>
      <c r="D5" s="53">
        <v>20</v>
      </c>
      <c r="E5" s="53">
        <f>D5*C5*B5</f>
        <v>1440</v>
      </c>
      <c r="F5" s="54"/>
    </row>
    <row r="6" spans="1:8">
      <c r="A6" t="s">
        <v>214</v>
      </c>
      <c r="B6">
        <v>3</v>
      </c>
      <c r="C6">
        <v>24</v>
      </c>
      <c r="D6" s="53">
        <v>30</v>
      </c>
      <c r="E6" s="53">
        <f t="shared" ref="E6:E13" si="0">D6*C6*B6</f>
        <v>2160</v>
      </c>
      <c r="F6" s="54"/>
    </row>
    <row r="7" spans="1:8">
      <c r="A7" t="s">
        <v>215</v>
      </c>
      <c r="B7">
        <v>3</v>
      </c>
      <c r="C7">
        <v>24</v>
      </c>
      <c r="D7" s="53">
        <v>35</v>
      </c>
      <c r="E7" s="53">
        <f t="shared" si="0"/>
        <v>2520</v>
      </c>
      <c r="F7" s="54"/>
    </row>
    <row r="8" spans="1:8">
      <c r="A8" t="s">
        <v>218</v>
      </c>
      <c r="B8">
        <v>5</v>
      </c>
      <c r="C8">
        <v>24</v>
      </c>
      <c r="D8" s="53">
        <v>25</v>
      </c>
      <c r="E8" s="53">
        <f t="shared" si="0"/>
        <v>3000</v>
      </c>
      <c r="F8" s="54"/>
    </row>
    <row r="9" spans="1:8">
      <c r="A9" t="s">
        <v>216</v>
      </c>
      <c r="B9">
        <v>2</v>
      </c>
      <c r="C9">
        <v>24</v>
      </c>
      <c r="D9" s="53">
        <v>40</v>
      </c>
      <c r="E9" s="53">
        <f t="shared" si="0"/>
        <v>1920</v>
      </c>
      <c r="F9" s="54"/>
    </row>
    <row r="10" spans="1:8">
      <c r="A10" t="s">
        <v>217</v>
      </c>
      <c r="B10">
        <v>3</v>
      </c>
      <c r="C10">
        <v>9</v>
      </c>
      <c r="D10" s="53">
        <v>30</v>
      </c>
      <c r="E10" s="53">
        <f t="shared" si="0"/>
        <v>810</v>
      </c>
      <c r="F10" s="54"/>
    </row>
    <row r="11" spans="1:8">
      <c r="A11" t="s">
        <v>215</v>
      </c>
      <c r="B11">
        <v>3</v>
      </c>
      <c r="C11">
        <v>9</v>
      </c>
      <c r="D11" s="53">
        <v>35</v>
      </c>
      <c r="E11" s="53">
        <f t="shared" si="0"/>
        <v>945</v>
      </c>
      <c r="F11" s="54"/>
    </row>
    <row r="12" spans="1:8">
      <c r="A12" t="s">
        <v>218</v>
      </c>
      <c r="B12">
        <v>5</v>
      </c>
      <c r="C12">
        <v>9</v>
      </c>
      <c r="D12" s="53">
        <v>25</v>
      </c>
      <c r="E12" s="53">
        <f t="shared" si="0"/>
        <v>1125</v>
      </c>
      <c r="F12" s="54"/>
    </row>
    <row r="13" spans="1:8">
      <c r="A13" t="s">
        <v>216</v>
      </c>
      <c r="B13">
        <v>2</v>
      </c>
      <c r="C13">
        <v>9</v>
      </c>
      <c r="D13" s="53">
        <v>40</v>
      </c>
      <c r="E13" s="53">
        <f t="shared" si="0"/>
        <v>720</v>
      </c>
      <c r="F13" s="54"/>
    </row>
    <row r="14" spans="1:8">
      <c r="E14" s="53">
        <f>SUM(E5:E13)/33/12</f>
        <v>36.969696969696969</v>
      </c>
    </row>
    <row r="17" spans="1:8">
      <c r="A17" s="160" t="s">
        <v>219</v>
      </c>
      <c r="B17" s="160"/>
      <c r="C17" s="160"/>
      <c r="D17" s="160"/>
      <c r="E17" s="160"/>
      <c r="F17" s="160"/>
      <c r="G17" s="160"/>
      <c r="H17" s="160"/>
    </row>
    <row r="18" spans="1:8">
      <c r="A18" s="160"/>
      <c r="B18" s="160"/>
      <c r="C18" s="160"/>
      <c r="D18" s="160"/>
      <c r="E18" s="160"/>
      <c r="F18" s="160"/>
      <c r="G18" s="160"/>
      <c r="H18" s="160"/>
    </row>
    <row r="19" spans="1:8">
      <c r="A19" t="s">
        <v>212</v>
      </c>
      <c r="B19" t="s">
        <v>241</v>
      </c>
      <c r="C19" t="s">
        <v>210</v>
      </c>
      <c r="D19" s="93"/>
      <c r="E19" s="93"/>
      <c r="F19" s="92"/>
      <c r="G19" s="92"/>
      <c r="H19" s="92"/>
    </row>
    <row r="20" spans="1:8">
      <c r="A20" t="s">
        <v>242</v>
      </c>
      <c r="B20">
        <v>1</v>
      </c>
      <c r="C20">
        <v>24</v>
      </c>
      <c r="D20" s="53">
        <v>12</v>
      </c>
      <c r="E20" s="53">
        <f>D20*C20*B20</f>
        <v>288</v>
      </c>
    </row>
    <row r="21" spans="1:8">
      <c r="A21" t="s">
        <v>220</v>
      </c>
      <c r="B21">
        <v>12</v>
      </c>
      <c r="C21">
        <v>24</v>
      </c>
      <c r="D21" s="53">
        <v>1.25</v>
      </c>
      <c r="E21" s="53">
        <f t="shared" ref="E21:E44" si="1">D21*C21*B21</f>
        <v>360</v>
      </c>
    </row>
    <row r="22" spans="1:8">
      <c r="A22" t="s">
        <v>221</v>
      </c>
      <c r="B22">
        <v>60</v>
      </c>
      <c r="C22">
        <v>24</v>
      </c>
      <c r="D22" s="53">
        <v>0.9</v>
      </c>
      <c r="E22" s="53">
        <f t="shared" si="1"/>
        <v>1296</v>
      </c>
    </row>
    <row r="23" spans="1:8">
      <c r="A23" t="s">
        <v>222</v>
      </c>
      <c r="B23">
        <v>2</v>
      </c>
      <c r="C23">
        <v>24</v>
      </c>
      <c r="D23" s="53">
        <v>5.9</v>
      </c>
      <c r="E23" s="53">
        <f t="shared" si="1"/>
        <v>283.20000000000005</v>
      </c>
    </row>
    <row r="24" spans="1:8">
      <c r="A24" t="s">
        <v>223</v>
      </c>
      <c r="B24">
        <v>120</v>
      </c>
      <c r="C24">
        <v>24</v>
      </c>
      <c r="D24" s="53">
        <v>0.85</v>
      </c>
      <c r="E24" s="53">
        <f t="shared" si="1"/>
        <v>2448</v>
      </c>
    </row>
    <row r="25" spans="1:8">
      <c r="A25" t="s">
        <v>224</v>
      </c>
      <c r="B25">
        <v>2</v>
      </c>
      <c r="C25">
        <v>24</v>
      </c>
      <c r="D25" s="53">
        <v>8.5</v>
      </c>
      <c r="E25" s="53">
        <f t="shared" si="1"/>
        <v>408</v>
      </c>
    </row>
    <row r="26" spans="1:8">
      <c r="A26" t="s">
        <v>243</v>
      </c>
      <c r="B26">
        <v>1</v>
      </c>
      <c r="C26">
        <v>24</v>
      </c>
      <c r="D26" s="53">
        <v>20</v>
      </c>
      <c r="E26" s="53">
        <f t="shared" si="1"/>
        <v>480</v>
      </c>
    </row>
    <row r="27" spans="1:8">
      <c r="A27" t="s">
        <v>225</v>
      </c>
      <c r="B27">
        <v>1</v>
      </c>
      <c r="C27">
        <v>5</v>
      </c>
      <c r="D27" s="53">
        <v>89</v>
      </c>
      <c r="E27" s="53">
        <f t="shared" si="1"/>
        <v>445</v>
      </c>
    </row>
    <row r="28" spans="1:8">
      <c r="A28" t="s">
        <v>226</v>
      </c>
      <c r="B28">
        <v>1</v>
      </c>
      <c r="C28">
        <v>5</v>
      </c>
      <c r="D28" s="53">
        <v>68</v>
      </c>
      <c r="E28" s="53">
        <f t="shared" si="1"/>
        <v>340</v>
      </c>
    </row>
    <row r="29" spans="1:8">
      <c r="A29" t="s">
        <v>227</v>
      </c>
      <c r="B29">
        <v>1</v>
      </c>
      <c r="C29">
        <v>24</v>
      </c>
      <c r="D29" s="53">
        <v>5.9</v>
      </c>
      <c r="E29" s="53">
        <f t="shared" si="1"/>
        <v>141.60000000000002</v>
      </c>
    </row>
    <row r="30" spans="1:8">
      <c r="A30" t="s">
        <v>228</v>
      </c>
      <c r="B30">
        <v>48</v>
      </c>
      <c r="C30">
        <v>24</v>
      </c>
      <c r="D30" s="53">
        <v>0.3</v>
      </c>
      <c r="E30" s="53">
        <f t="shared" si="1"/>
        <v>345.59999999999997</v>
      </c>
    </row>
    <row r="31" spans="1:8">
      <c r="A31" t="s">
        <v>229</v>
      </c>
      <c r="B31">
        <v>4</v>
      </c>
      <c r="C31">
        <v>24</v>
      </c>
      <c r="D31" s="53">
        <v>20</v>
      </c>
      <c r="E31" s="53">
        <f t="shared" si="1"/>
        <v>1920</v>
      </c>
    </row>
    <row r="32" spans="1:8">
      <c r="A32" t="s">
        <v>230</v>
      </c>
      <c r="B32">
        <v>48</v>
      </c>
      <c r="C32">
        <v>24</v>
      </c>
      <c r="D32" s="53">
        <v>0.2</v>
      </c>
      <c r="E32" s="53">
        <f t="shared" si="1"/>
        <v>230.40000000000003</v>
      </c>
    </row>
    <row r="33" spans="1:5">
      <c r="A33" t="s">
        <v>231</v>
      </c>
      <c r="B33">
        <v>12</v>
      </c>
      <c r="C33">
        <v>24</v>
      </c>
      <c r="D33" s="53">
        <v>8.5</v>
      </c>
      <c r="E33" s="53">
        <f t="shared" si="1"/>
        <v>2448</v>
      </c>
    </row>
    <row r="34" spans="1:5">
      <c r="A34" t="s">
        <v>232</v>
      </c>
      <c r="B34">
        <v>3</v>
      </c>
      <c r="C34">
        <v>24</v>
      </c>
      <c r="D34" s="53">
        <v>12</v>
      </c>
      <c r="E34" s="53">
        <f t="shared" si="1"/>
        <v>864</v>
      </c>
    </row>
    <row r="35" spans="1:5">
      <c r="A35" t="s">
        <v>233</v>
      </c>
      <c r="B35">
        <v>1</v>
      </c>
      <c r="C35">
        <v>24</v>
      </c>
      <c r="D35" s="53">
        <v>40</v>
      </c>
      <c r="E35" s="53">
        <f t="shared" si="1"/>
        <v>960</v>
      </c>
    </row>
    <row r="36" spans="1:5">
      <c r="A36" t="s">
        <v>234</v>
      </c>
      <c r="B36">
        <f>1/5</f>
        <v>0.2</v>
      </c>
      <c r="C36">
        <v>9</v>
      </c>
      <c r="D36" s="53">
        <v>350</v>
      </c>
      <c r="E36" s="53">
        <f t="shared" si="1"/>
        <v>630</v>
      </c>
    </row>
    <row r="37" spans="1:5">
      <c r="A37" t="s">
        <v>244</v>
      </c>
      <c r="B37">
        <f>1/5</f>
        <v>0.2</v>
      </c>
      <c r="C37">
        <v>9</v>
      </c>
      <c r="D37" s="53">
        <v>150</v>
      </c>
      <c r="E37" s="53">
        <f t="shared" si="1"/>
        <v>270</v>
      </c>
    </row>
    <row r="38" spans="1:5">
      <c r="A38" t="s">
        <v>235</v>
      </c>
      <c r="B38">
        <v>1</v>
      </c>
      <c r="C38">
        <v>9</v>
      </c>
      <c r="D38" s="53">
        <v>35</v>
      </c>
      <c r="E38" s="53">
        <f t="shared" si="1"/>
        <v>315</v>
      </c>
    </row>
    <row r="39" spans="1:5">
      <c r="A39" t="s">
        <v>236</v>
      </c>
      <c r="B39">
        <v>1</v>
      </c>
      <c r="C39">
        <v>9</v>
      </c>
      <c r="D39" s="53">
        <v>95</v>
      </c>
      <c r="E39" s="53">
        <f t="shared" si="1"/>
        <v>855</v>
      </c>
    </row>
    <row r="40" spans="1:5">
      <c r="A40" t="s">
        <v>237</v>
      </c>
      <c r="B40">
        <v>1</v>
      </c>
      <c r="C40">
        <v>9</v>
      </c>
      <c r="D40" s="53">
        <v>1.25</v>
      </c>
      <c r="E40" s="53">
        <f t="shared" si="1"/>
        <v>11.25</v>
      </c>
    </row>
    <row r="41" spans="1:5">
      <c r="A41" t="s">
        <v>238</v>
      </c>
      <c r="B41">
        <v>1</v>
      </c>
      <c r="C41">
        <v>9</v>
      </c>
      <c r="D41" s="53">
        <v>5.9</v>
      </c>
      <c r="E41" s="53">
        <f t="shared" si="1"/>
        <v>53.1</v>
      </c>
    </row>
    <row r="42" spans="1:5">
      <c r="A42" t="s">
        <v>239</v>
      </c>
      <c r="B42">
        <f>1/3</f>
        <v>0.33333333333333331</v>
      </c>
      <c r="C42">
        <v>9</v>
      </c>
      <c r="D42" s="53">
        <v>850</v>
      </c>
      <c r="E42" s="53">
        <f t="shared" si="1"/>
        <v>2550</v>
      </c>
    </row>
    <row r="43" spans="1:5">
      <c r="A43" t="s">
        <v>240</v>
      </c>
      <c r="B43">
        <f>1/3</f>
        <v>0.33333333333333331</v>
      </c>
      <c r="C43">
        <v>9</v>
      </c>
      <c r="D43" s="53">
        <v>250</v>
      </c>
      <c r="E43" s="53">
        <f t="shared" si="1"/>
        <v>750</v>
      </c>
    </row>
    <row r="44" spans="1:5">
      <c r="A44" t="s">
        <v>245</v>
      </c>
      <c r="B44">
        <f>1/3</f>
        <v>0.33333333333333331</v>
      </c>
      <c r="C44">
        <v>9</v>
      </c>
      <c r="D44" s="53">
        <v>950</v>
      </c>
      <c r="E44" s="53">
        <f t="shared" si="1"/>
        <v>2850</v>
      </c>
    </row>
    <row r="46" spans="1:5">
      <c r="E46" s="53">
        <f>SUM(E20:E45)/33/12</f>
        <v>54.399368686868691</v>
      </c>
    </row>
    <row r="48" spans="1:5">
      <c r="E48" s="53">
        <f>E46+E14</f>
        <v>91.369065656565652</v>
      </c>
    </row>
    <row r="50" spans="1:8">
      <c r="A50" s="160" t="s">
        <v>246</v>
      </c>
      <c r="B50" s="160"/>
      <c r="C50" s="160"/>
      <c r="D50" s="160"/>
      <c r="E50" s="160"/>
      <c r="F50" s="160"/>
      <c r="G50" s="160"/>
      <c r="H50" s="160"/>
    </row>
    <row r="51" spans="1:8">
      <c r="A51" s="160"/>
      <c r="B51" s="160"/>
      <c r="C51" s="160"/>
      <c r="D51" s="160"/>
      <c r="E51" s="160"/>
      <c r="F51" s="160"/>
      <c r="G51" s="160"/>
      <c r="H51" s="160"/>
    </row>
    <row r="53" spans="1:8">
      <c r="A53" t="s">
        <v>212</v>
      </c>
      <c r="B53" t="s">
        <v>257</v>
      </c>
    </row>
    <row r="54" spans="1:8">
      <c r="A54" t="s">
        <v>247</v>
      </c>
      <c r="B54" s="53">
        <v>45</v>
      </c>
      <c r="C54">
        <v>4</v>
      </c>
      <c r="D54" s="53">
        <f>C54*B54</f>
        <v>180</v>
      </c>
    </row>
    <row r="55" spans="1:8">
      <c r="A55" t="s">
        <v>248</v>
      </c>
      <c r="B55" s="53">
        <v>8.5</v>
      </c>
      <c r="C55">
        <v>4</v>
      </c>
      <c r="D55" s="53">
        <f t="shared" ref="D55:D91" si="2">C55*B55</f>
        <v>34</v>
      </c>
    </row>
    <row r="56" spans="1:8">
      <c r="A56" t="s">
        <v>249</v>
      </c>
      <c r="B56" s="53">
        <v>38</v>
      </c>
      <c r="C56">
        <v>4</v>
      </c>
      <c r="D56" s="53">
        <f t="shared" si="2"/>
        <v>152</v>
      </c>
    </row>
    <row r="57" spans="1:8">
      <c r="A57" t="s">
        <v>250</v>
      </c>
      <c r="B57" s="53">
        <v>25</v>
      </c>
      <c r="C57">
        <v>4</v>
      </c>
      <c r="D57" s="53">
        <f t="shared" si="2"/>
        <v>100</v>
      </c>
    </row>
    <row r="58" spans="1:8">
      <c r="A58" t="s">
        <v>251</v>
      </c>
      <c r="B58" s="53">
        <v>53</v>
      </c>
      <c r="C58">
        <v>4</v>
      </c>
      <c r="D58" s="53">
        <f t="shared" si="2"/>
        <v>212</v>
      </c>
    </row>
    <row r="59" spans="1:8">
      <c r="A59" t="s">
        <v>252</v>
      </c>
      <c r="B59" s="53">
        <v>38</v>
      </c>
      <c r="C59">
        <v>4</v>
      </c>
      <c r="D59" s="53">
        <f t="shared" si="2"/>
        <v>152</v>
      </c>
    </row>
    <row r="60" spans="1:8">
      <c r="A60" t="s">
        <v>260</v>
      </c>
      <c r="B60" s="53">
        <v>42</v>
      </c>
      <c r="C60">
        <v>4</v>
      </c>
      <c r="D60" s="53">
        <f t="shared" si="2"/>
        <v>168</v>
      </c>
    </row>
    <row r="61" spans="1:8">
      <c r="A61" t="s">
        <v>253</v>
      </c>
      <c r="B61" s="53">
        <v>180</v>
      </c>
      <c r="C61">
        <v>4</v>
      </c>
      <c r="D61" s="53">
        <f t="shared" si="2"/>
        <v>720</v>
      </c>
    </row>
    <row r="62" spans="1:8">
      <c r="A62" t="s">
        <v>254</v>
      </c>
      <c r="B62" s="53">
        <v>35</v>
      </c>
      <c r="C62">
        <v>4</v>
      </c>
      <c r="D62" s="53">
        <f t="shared" si="2"/>
        <v>140</v>
      </c>
    </row>
    <row r="63" spans="1:8">
      <c r="A63" t="s">
        <v>255</v>
      </c>
      <c r="B63" s="53">
        <v>125</v>
      </c>
      <c r="C63">
        <v>4</v>
      </c>
      <c r="D63" s="53">
        <f t="shared" si="2"/>
        <v>500</v>
      </c>
    </row>
    <row r="64" spans="1:8">
      <c r="A64" t="s">
        <v>256</v>
      </c>
      <c r="B64" s="53">
        <v>80</v>
      </c>
      <c r="C64">
        <v>4</v>
      </c>
      <c r="D64" s="53">
        <f t="shared" si="2"/>
        <v>320</v>
      </c>
    </row>
    <row r="65" spans="1:4">
      <c r="A65" t="s">
        <v>258</v>
      </c>
      <c r="B65" s="53">
        <v>25</v>
      </c>
      <c r="C65">
        <v>4</v>
      </c>
      <c r="D65" s="53">
        <f t="shared" si="2"/>
        <v>100</v>
      </c>
    </row>
    <row r="66" spans="1:4">
      <c r="A66" t="s">
        <v>259</v>
      </c>
      <c r="B66" s="53">
        <v>25</v>
      </c>
      <c r="C66">
        <v>4</v>
      </c>
      <c r="D66" s="53">
        <f t="shared" si="2"/>
        <v>100</v>
      </c>
    </row>
    <row r="67" spans="1:4">
      <c r="A67" t="s">
        <v>261</v>
      </c>
      <c r="B67" s="53">
        <v>20</v>
      </c>
      <c r="C67">
        <v>4</v>
      </c>
      <c r="D67" s="53">
        <f t="shared" si="2"/>
        <v>80</v>
      </c>
    </row>
    <row r="68" spans="1:4">
      <c r="A68" t="s">
        <v>262</v>
      </c>
      <c r="B68" s="53">
        <v>35</v>
      </c>
      <c r="C68">
        <v>4</v>
      </c>
      <c r="D68" s="53">
        <f t="shared" si="2"/>
        <v>140</v>
      </c>
    </row>
    <row r="69" spans="1:4">
      <c r="A69" t="s">
        <v>263</v>
      </c>
      <c r="B69" s="53">
        <v>920</v>
      </c>
      <c r="C69">
        <v>1</v>
      </c>
      <c r="D69" s="53">
        <f t="shared" si="2"/>
        <v>920</v>
      </c>
    </row>
    <row r="70" spans="1:4">
      <c r="A70" t="s">
        <v>264</v>
      </c>
      <c r="B70" s="53">
        <v>680</v>
      </c>
      <c r="C70">
        <v>1</v>
      </c>
      <c r="D70" s="53">
        <f t="shared" si="2"/>
        <v>680</v>
      </c>
    </row>
    <row r="71" spans="1:4">
      <c r="A71" t="s">
        <v>265</v>
      </c>
      <c r="B71" s="53">
        <v>150</v>
      </c>
      <c r="C71">
        <v>1</v>
      </c>
      <c r="D71" s="53">
        <f t="shared" si="2"/>
        <v>150</v>
      </c>
    </row>
    <row r="72" spans="1:4">
      <c r="A72" t="s">
        <v>266</v>
      </c>
      <c r="B72" s="53">
        <v>2800</v>
      </c>
      <c r="C72">
        <v>1</v>
      </c>
      <c r="D72" s="53">
        <f t="shared" si="2"/>
        <v>2800</v>
      </c>
    </row>
    <row r="73" spans="1:4">
      <c r="A73" t="s">
        <v>267</v>
      </c>
      <c r="B73" s="53">
        <v>2100</v>
      </c>
      <c r="C73">
        <v>1</v>
      </c>
      <c r="D73" s="53">
        <f t="shared" si="2"/>
        <v>2100</v>
      </c>
    </row>
    <row r="74" spans="1:4">
      <c r="A74" t="s">
        <v>268</v>
      </c>
      <c r="B74" s="53">
        <v>2100</v>
      </c>
      <c r="C74">
        <v>1</v>
      </c>
      <c r="D74" s="53">
        <f t="shared" si="2"/>
        <v>2100</v>
      </c>
    </row>
    <row r="75" spans="1:4">
      <c r="A75" t="s">
        <v>269</v>
      </c>
      <c r="B75" s="53">
        <v>1250</v>
      </c>
      <c r="C75">
        <v>1</v>
      </c>
      <c r="D75" s="53">
        <f t="shared" si="2"/>
        <v>1250</v>
      </c>
    </row>
    <row r="76" spans="1:4">
      <c r="A76" t="s">
        <v>270</v>
      </c>
      <c r="B76" s="53">
        <v>1800</v>
      </c>
      <c r="C76">
        <v>1</v>
      </c>
      <c r="D76" s="53">
        <f t="shared" si="2"/>
        <v>1800</v>
      </c>
    </row>
    <row r="77" spans="1:4">
      <c r="A77" t="s">
        <v>271</v>
      </c>
      <c r="B77" s="53">
        <v>80</v>
      </c>
      <c r="C77">
        <v>1</v>
      </c>
      <c r="D77" s="53">
        <f t="shared" si="2"/>
        <v>80</v>
      </c>
    </row>
    <row r="78" spans="1:4">
      <c r="A78" t="s">
        <v>272</v>
      </c>
      <c r="B78" s="53">
        <v>850</v>
      </c>
      <c r="C78">
        <v>1</v>
      </c>
      <c r="D78" s="53">
        <f t="shared" si="2"/>
        <v>850</v>
      </c>
    </row>
    <row r="79" spans="1:4">
      <c r="A79" t="s">
        <v>273</v>
      </c>
      <c r="B79" s="53">
        <v>80</v>
      </c>
      <c r="C79">
        <v>4</v>
      </c>
      <c r="D79" s="53">
        <f t="shared" si="2"/>
        <v>320</v>
      </c>
    </row>
    <row r="80" spans="1:4">
      <c r="A80" t="s">
        <v>274</v>
      </c>
      <c r="B80" s="53">
        <v>160</v>
      </c>
      <c r="C80">
        <v>2</v>
      </c>
      <c r="D80" s="53">
        <f t="shared" si="2"/>
        <v>320</v>
      </c>
    </row>
    <row r="81" spans="1:6">
      <c r="A81" t="s">
        <v>275</v>
      </c>
      <c r="B81" s="53">
        <v>550</v>
      </c>
      <c r="C81">
        <v>3</v>
      </c>
      <c r="D81" s="53">
        <f t="shared" si="2"/>
        <v>1650</v>
      </c>
    </row>
    <row r="82" spans="1:6">
      <c r="A82" t="s">
        <v>276</v>
      </c>
      <c r="B82" s="53">
        <v>250</v>
      </c>
      <c r="C82">
        <v>3</v>
      </c>
      <c r="D82" s="53">
        <f t="shared" si="2"/>
        <v>750</v>
      </c>
    </row>
    <row r="83" spans="1:6">
      <c r="A83" t="s">
        <v>277</v>
      </c>
      <c r="B83" s="53">
        <v>250</v>
      </c>
      <c r="C83">
        <v>3</v>
      </c>
      <c r="D83" s="53">
        <f t="shared" si="2"/>
        <v>750</v>
      </c>
    </row>
    <row r="84" spans="1:6">
      <c r="A84" t="s">
        <v>278</v>
      </c>
      <c r="B84" s="53">
        <v>180</v>
      </c>
      <c r="C84">
        <v>3</v>
      </c>
      <c r="D84" s="53">
        <f t="shared" si="2"/>
        <v>540</v>
      </c>
    </row>
    <row r="85" spans="1:6">
      <c r="A85" t="s">
        <v>279</v>
      </c>
      <c r="B85" s="53">
        <v>110</v>
      </c>
      <c r="C85">
        <v>1</v>
      </c>
      <c r="D85" s="53">
        <f t="shared" si="2"/>
        <v>110</v>
      </c>
    </row>
    <row r="86" spans="1:6">
      <c r="A86" t="s">
        <v>280</v>
      </c>
      <c r="B86" s="53">
        <v>170</v>
      </c>
      <c r="C86">
        <v>1</v>
      </c>
      <c r="D86" s="53">
        <f t="shared" si="2"/>
        <v>170</v>
      </c>
    </row>
    <row r="87" spans="1:6">
      <c r="A87" t="s">
        <v>281</v>
      </c>
      <c r="B87" s="53">
        <v>80</v>
      </c>
      <c r="C87">
        <v>33</v>
      </c>
      <c r="D87" s="53">
        <f t="shared" si="2"/>
        <v>2640</v>
      </c>
    </row>
    <row r="88" spans="1:6">
      <c r="A88" t="s">
        <v>282</v>
      </c>
      <c r="B88" s="53">
        <v>1200</v>
      </c>
      <c r="C88">
        <v>2</v>
      </c>
      <c r="D88" s="53">
        <f t="shared" si="2"/>
        <v>2400</v>
      </c>
    </row>
    <row r="89" spans="1:6">
      <c r="A89" t="s">
        <v>283</v>
      </c>
      <c r="B89" s="53">
        <v>400</v>
      </c>
      <c r="C89">
        <v>3</v>
      </c>
      <c r="D89" s="53">
        <f t="shared" si="2"/>
        <v>1200</v>
      </c>
      <c r="F89" s="53"/>
    </row>
    <row r="90" spans="1:6">
      <c r="A90" t="s">
        <v>284</v>
      </c>
      <c r="B90" s="53">
        <v>850</v>
      </c>
      <c r="C90">
        <v>2</v>
      </c>
      <c r="D90" s="53">
        <f t="shared" si="2"/>
        <v>1700</v>
      </c>
    </row>
    <row r="91" spans="1:6">
      <c r="A91" t="s">
        <v>285</v>
      </c>
      <c r="B91" s="53">
        <v>25</v>
      </c>
      <c r="C91">
        <v>33</v>
      </c>
      <c r="D91" s="53">
        <f t="shared" si="2"/>
        <v>825</v>
      </c>
    </row>
    <row r="92" spans="1:6">
      <c r="A92" t="s">
        <v>286</v>
      </c>
      <c r="B92" s="53"/>
      <c r="D92" s="53">
        <f>1400*12</f>
        <v>16800</v>
      </c>
    </row>
    <row r="93" spans="1:6">
      <c r="D93" s="53">
        <f>SUM(D54:D92)/12/33</f>
        <v>116.16919191919192</v>
      </c>
    </row>
    <row r="96" spans="1:6">
      <c r="A96" t="s">
        <v>287</v>
      </c>
    </row>
    <row r="97" spans="1:3">
      <c r="A97" t="s">
        <v>291</v>
      </c>
    </row>
    <row r="98" spans="1:3">
      <c r="A98" s="94" t="s">
        <v>290</v>
      </c>
    </row>
    <row r="99" spans="1:3">
      <c r="A99" t="s">
        <v>288</v>
      </c>
    </row>
    <row r="101" spans="1:3">
      <c r="A101" t="s">
        <v>289</v>
      </c>
      <c r="B101" s="54">
        <v>1200</v>
      </c>
      <c r="C101" s="54">
        <f>B101/33</f>
        <v>36.363636363636367</v>
      </c>
    </row>
    <row r="122" spans="9:9">
      <c r="I122" s="50"/>
    </row>
  </sheetData>
  <mergeCells count="3">
    <mergeCell ref="A1:H2"/>
    <mergeCell ref="A17:H18"/>
    <mergeCell ref="A50:H5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200D3-F0E3-4B37-AB9A-4BF8C4D5BC99}">
  <sheetPr>
    <tabColor rgb="FF0070C0"/>
  </sheetPr>
  <dimension ref="A1:Q172"/>
  <sheetViews>
    <sheetView showGridLines="0" view="pageBreakPreview" topLeftCell="A43" zoomScaleNormal="100" zoomScaleSheetLayoutView="100" zoomScalePageLayoutView="95" workbookViewId="0">
      <selection activeCell="J64" sqref="J64"/>
    </sheetView>
  </sheetViews>
  <sheetFormatPr defaultRowHeight="12.5"/>
  <cols>
    <col min="1" max="9" width="8.7265625" customWidth="1"/>
    <col min="10" max="10" width="15.453125" customWidth="1"/>
    <col min="11" max="11" width="17.453125" customWidth="1"/>
    <col min="12" max="12" width="17" customWidth="1"/>
    <col min="13" max="16" width="8.7265625" customWidth="1"/>
    <col min="17" max="17" width="10.81640625" customWidth="1"/>
    <col min="18" max="1025" width="8.7265625" customWidth="1"/>
  </cols>
  <sheetData>
    <row r="1" spans="1:12" ht="24.25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2" ht="46.5" customHeight="1">
      <c r="A2" s="136" t="s">
        <v>297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2" ht="14.65" customHeight="1">
      <c r="A3" s="109" t="s">
        <v>1</v>
      </c>
      <c r="B3" s="109"/>
      <c r="C3" s="109"/>
      <c r="D3" s="109"/>
      <c r="E3" s="109"/>
      <c r="F3" s="109"/>
      <c r="G3" s="109"/>
      <c r="H3" s="138" t="s">
        <v>145</v>
      </c>
      <c r="I3" s="139"/>
      <c r="J3" s="139"/>
    </row>
    <row r="4" spans="1:12" ht="14.65" customHeight="1">
      <c r="A4" s="109" t="s">
        <v>2</v>
      </c>
      <c r="B4" s="109"/>
      <c r="C4" s="109"/>
      <c r="D4" s="109"/>
      <c r="E4" s="109"/>
      <c r="F4" s="109"/>
      <c r="G4" s="109"/>
      <c r="H4" s="140" t="s">
        <v>144</v>
      </c>
      <c r="I4" s="139"/>
      <c r="J4" s="139"/>
    </row>
    <row r="5" spans="1:12" ht="14.65" customHeight="1">
      <c r="A5" s="109" t="s">
        <v>3</v>
      </c>
      <c r="B5" s="109"/>
      <c r="C5" s="109"/>
      <c r="D5" s="109"/>
      <c r="E5" s="109"/>
      <c r="F5" s="109"/>
      <c r="G5" s="109"/>
      <c r="H5" s="109"/>
      <c r="I5" s="109"/>
      <c r="J5" s="109"/>
    </row>
    <row r="6" spans="1:12" ht="16.149999999999999" customHeight="1">
      <c r="A6" s="142" t="s">
        <v>4</v>
      </c>
      <c r="B6" s="142"/>
      <c r="C6" s="142"/>
      <c r="D6" s="142"/>
      <c r="E6" s="142"/>
      <c r="F6" s="142"/>
      <c r="G6" s="142"/>
      <c r="H6" s="142"/>
      <c r="I6" s="142"/>
      <c r="J6" s="142"/>
    </row>
    <row r="7" spans="1:12" ht="14.65" customHeight="1">
      <c r="A7" s="1" t="s">
        <v>5</v>
      </c>
      <c r="B7" s="109" t="s">
        <v>6</v>
      </c>
      <c r="C7" s="109"/>
      <c r="D7" s="109"/>
      <c r="E7" s="109"/>
      <c r="F7" s="109"/>
      <c r="G7" s="109"/>
      <c r="H7" s="141">
        <v>44029</v>
      </c>
      <c r="I7" s="141"/>
      <c r="J7" s="141"/>
    </row>
    <row r="8" spans="1:12" ht="14.65" customHeight="1">
      <c r="A8" s="1" t="s">
        <v>7</v>
      </c>
      <c r="B8" s="109" t="s">
        <v>8</v>
      </c>
      <c r="C8" s="109"/>
      <c r="D8" s="109"/>
      <c r="E8" s="109"/>
      <c r="F8" s="109"/>
      <c r="G8" s="109"/>
      <c r="H8" s="141" t="s">
        <v>140</v>
      </c>
      <c r="I8" s="141"/>
      <c r="J8" s="141"/>
    </row>
    <row r="9" spans="1:12" ht="39" customHeight="1">
      <c r="A9" s="1" t="s">
        <v>9</v>
      </c>
      <c r="B9" s="109" t="s">
        <v>10</v>
      </c>
      <c r="C9" s="109"/>
      <c r="D9" s="109"/>
      <c r="E9" s="109"/>
      <c r="F9" s="109"/>
      <c r="G9" s="109"/>
      <c r="H9" s="141" t="s">
        <v>11</v>
      </c>
      <c r="I9" s="141"/>
      <c r="J9" s="141"/>
      <c r="L9" s="55"/>
    </row>
    <row r="10" spans="1:12" ht="14.65" customHeight="1">
      <c r="A10" s="1" t="s">
        <v>12</v>
      </c>
      <c r="B10" s="109" t="s">
        <v>13</v>
      </c>
      <c r="C10" s="109"/>
      <c r="D10" s="109"/>
      <c r="E10" s="109"/>
      <c r="F10" s="109"/>
      <c r="G10" s="109"/>
      <c r="H10" s="139">
        <v>12</v>
      </c>
      <c r="I10" s="139"/>
      <c r="J10" s="139"/>
    </row>
    <row r="11" spans="1:12" ht="13">
      <c r="A11" s="101"/>
      <c r="B11" s="101"/>
      <c r="C11" s="101"/>
      <c r="D11" s="101"/>
      <c r="E11" s="101"/>
      <c r="F11" s="101"/>
      <c r="G11" s="101"/>
      <c r="H11" s="101"/>
      <c r="I11" s="101"/>
      <c r="J11" s="101"/>
    </row>
    <row r="12" spans="1:12" ht="48.75" customHeight="1">
      <c r="A12" s="132" t="s">
        <v>14</v>
      </c>
      <c r="B12" s="132"/>
      <c r="C12" s="132"/>
      <c r="D12" s="132"/>
      <c r="E12" s="132"/>
      <c r="F12" s="132"/>
      <c r="G12" s="132"/>
      <c r="H12" s="132"/>
      <c r="I12" s="132"/>
      <c r="J12" s="132"/>
      <c r="L12" s="55"/>
    </row>
    <row r="13" spans="1:12" ht="13">
      <c r="A13" s="101"/>
      <c r="B13" s="101"/>
      <c r="C13" s="101"/>
      <c r="D13" s="101"/>
      <c r="E13" s="101"/>
      <c r="F13" s="101"/>
      <c r="G13" s="101"/>
      <c r="H13" s="101"/>
      <c r="I13" s="101"/>
      <c r="J13" s="101"/>
    </row>
    <row r="14" spans="1:12" ht="16.149999999999999" customHeight="1">
      <c r="A14" s="115" t="s">
        <v>15</v>
      </c>
      <c r="B14" s="115"/>
      <c r="C14" s="115"/>
      <c r="D14" s="115"/>
      <c r="E14" s="115"/>
      <c r="F14" s="115"/>
      <c r="G14" s="115"/>
      <c r="H14" s="115"/>
      <c r="I14" s="115"/>
      <c r="J14" s="115"/>
      <c r="L14" s="55"/>
    </row>
    <row r="15" spans="1:12" ht="16.149999999999999" customHeight="1">
      <c r="A15" s="1">
        <v>1</v>
      </c>
      <c r="B15" s="109" t="s">
        <v>16</v>
      </c>
      <c r="C15" s="109"/>
      <c r="D15" s="109"/>
      <c r="E15" s="109"/>
      <c r="F15" s="109"/>
      <c r="G15" s="109"/>
      <c r="H15" s="134" t="s">
        <v>17</v>
      </c>
      <c r="I15" s="134"/>
      <c r="J15" s="134"/>
    </row>
    <row r="16" spans="1:12" ht="16.149999999999999" customHeight="1">
      <c r="A16" s="1">
        <v>2</v>
      </c>
      <c r="B16" s="109" t="s">
        <v>18</v>
      </c>
      <c r="C16" s="109"/>
      <c r="D16" s="109"/>
      <c r="E16" s="109"/>
      <c r="F16" s="109"/>
      <c r="G16" s="109"/>
      <c r="H16" s="134">
        <v>9511</v>
      </c>
      <c r="I16" s="134"/>
      <c r="J16" s="134"/>
    </row>
    <row r="17" spans="1:17" ht="16.149999999999999" customHeight="1">
      <c r="A17" s="1">
        <v>3</v>
      </c>
      <c r="B17" s="109" t="s">
        <v>19</v>
      </c>
      <c r="C17" s="109"/>
      <c r="D17" s="109"/>
      <c r="E17" s="109"/>
      <c r="F17" s="109"/>
      <c r="G17" s="109"/>
      <c r="H17" s="143">
        <v>1314.09</v>
      </c>
      <c r="I17" s="143"/>
      <c r="J17" s="143"/>
    </row>
    <row r="18" spans="1:17" ht="16.149999999999999" customHeight="1">
      <c r="A18" s="1">
        <v>4</v>
      </c>
      <c r="B18" s="109" t="s">
        <v>20</v>
      </c>
      <c r="C18" s="109"/>
      <c r="D18" s="109"/>
      <c r="E18" s="109"/>
      <c r="F18" s="109"/>
      <c r="G18" s="109"/>
      <c r="H18" s="134" t="s">
        <v>166</v>
      </c>
      <c r="I18" s="134"/>
      <c r="J18" s="134"/>
    </row>
    <row r="19" spans="1:17" ht="16.149999999999999" customHeight="1">
      <c r="A19" s="1">
        <v>5</v>
      </c>
      <c r="B19" s="109" t="s">
        <v>21</v>
      </c>
      <c r="C19" s="109"/>
      <c r="D19" s="109"/>
      <c r="E19" s="109"/>
      <c r="F19" s="109"/>
      <c r="G19" s="109"/>
      <c r="H19" s="133" t="s">
        <v>141</v>
      </c>
      <c r="I19" s="133"/>
      <c r="J19" s="133"/>
    </row>
    <row r="20" spans="1:17" ht="16.149999999999999" customHeight="1">
      <c r="A20" s="1">
        <v>5</v>
      </c>
      <c r="B20" s="109" t="s">
        <v>133</v>
      </c>
      <c r="C20" s="109"/>
      <c r="D20" s="109"/>
      <c r="E20" s="109"/>
      <c r="F20" s="109"/>
      <c r="G20" s="109"/>
      <c r="H20" s="131">
        <v>40</v>
      </c>
      <c r="I20" s="131"/>
      <c r="J20" s="131"/>
    </row>
    <row r="21" spans="1:17" ht="13">
      <c r="A21" s="101"/>
      <c r="B21" s="101"/>
      <c r="C21" s="101"/>
      <c r="D21" s="101"/>
      <c r="E21" s="101"/>
      <c r="F21" s="101"/>
      <c r="G21" s="101"/>
      <c r="H21" s="101"/>
      <c r="I21" s="101"/>
      <c r="J21" s="101"/>
    </row>
    <row r="22" spans="1:17" ht="20.65" customHeight="1">
      <c r="A22" s="132" t="s">
        <v>22</v>
      </c>
      <c r="B22" s="132"/>
      <c r="C22" s="132"/>
      <c r="D22" s="132"/>
      <c r="E22" s="132"/>
      <c r="F22" s="132"/>
      <c r="G22" s="132"/>
      <c r="H22" s="132"/>
      <c r="I22" s="132"/>
      <c r="J22" s="132"/>
    </row>
    <row r="23" spans="1:17" ht="30.4" customHeight="1">
      <c r="A23" s="68">
        <v>1</v>
      </c>
      <c r="B23" s="115" t="s">
        <v>23</v>
      </c>
      <c r="C23" s="115"/>
      <c r="D23" s="115"/>
      <c r="E23" s="115"/>
      <c r="F23" s="115"/>
      <c r="G23" s="115"/>
      <c r="H23" s="115" t="s">
        <v>24</v>
      </c>
      <c r="I23" s="115"/>
      <c r="J23" s="68" t="s">
        <v>25</v>
      </c>
    </row>
    <row r="24" spans="1:17" ht="12.75" customHeight="1">
      <c r="A24" s="1" t="s">
        <v>5</v>
      </c>
      <c r="B24" s="109" t="s">
        <v>143</v>
      </c>
      <c r="C24" s="109"/>
      <c r="D24" s="109"/>
      <c r="E24" s="109"/>
      <c r="F24" s="109"/>
      <c r="G24" s="109"/>
      <c r="H24" s="109"/>
      <c r="I24" s="109"/>
      <c r="J24" s="2">
        <f>ROUND(H17/44*H20,2)</f>
        <v>1194.6300000000001</v>
      </c>
    </row>
    <row r="25" spans="1:17" ht="12.75" customHeight="1">
      <c r="A25" s="67" t="s">
        <v>7</v>
      </c>
      <c r="B25" s="109" t="s">
        <v>26</v>
      </c>
      <c r="C25" s="109"/>
      <c r="D25" s="109"/>
      <c r="E25" s="109"/>
      <c r="F25" s="109"/>
      <c r="G25" s="109"/>
      <c r="H25" s="109"/>
      <c r="I25" s="3"/>
      <c r="J25" s="2"/>
      <c r="K25" s="57"/>
    </row>
    <row r="26" spans="1:17" ht="12.75" customHeight="1">
      <c r="A26" s="67" t="s">
        <v>9</v>
      </c>
      <c r="B26" s="109" t="s">
        <v>27</v>
      </c>
      <c r="C26" s="109"/>
      <c r="D26" s="109"/>
      <c r="E26" s="109"/>
      <c r="F26" s="109"/>
      <c r="G26" s="109"/>
      <c r="H26" s="109"/>
      <c r="I26" s="109"/>
      <c r="J26" s="2"/>
    </row>
    <row r="27" spans="1:17" ht="12.75" customHeight="1">
      <c r="A27" s="67" t="s">
        <v>12</v>
      </c>
      <c r="B27" s="109" t="s">
        <v>28</v>
      </c>
      <c r="C27" s="109"/>
      <c r="D27" s="109"/>
      <c r="E27" s="109"/>
      <c r="F27" s="109"/>
      <c r="G27" s="109"/>
      <c r="H27" s="109"/>
      <c r="I27" s="109"/>
      <c r="J27" s="2"/>
    </row>
    <row r="28" spans="1:17" ht="12.75" customHeight="1">
      <c r="A28" s="67" t="s">
        <v>29</v>
      </c>
      <c r="B28" s="109" t="s">
        <v>30</v>
      </c>
      <c r="C28" s="109"/>
      <c r="D28" s="109"/>
      <c r="E28" s="109"/>
      <c r="F28" s="109"/>
      <c r="G28" s="109"/>
      <c r="H28" s="109"/>
      <c r="I28" s="109"/>
      <c r="J28" s="2"/>
      <c r="Q28" s="54"/>
    </row>
    <row r="29" spans="1:17" ht="12.75" customHeight="1">
      <c r="A29" s="1" t="s">
        <v>7</v>
      </c>
      <c r="B29" s="109" t="s">
        <v>31</v>
      </c>
      <c r="C29" s="109"/>
      <c r="D29" s="109"/>
      <c r="E29" s="109"/>
      <c r="F29" s="109"/>
      <c r="G29" s="109"/>
      <c r="H29" s="109"/>
      <c r="I29" s="4">
        <v>0.2</v>
      </c>
      <c r="J29" s="2">
        <f>I29*J24</f>
        <v>238.92600000000004</v>
      </c>
      <c r="Q29" s="54"/>
    </row>
    <row r="30" spans="1:17" ht="15.75" customHeight="1">
      <c r="A30" s="116" t="s">
        <v>32</v>
      </c>
      <c r="B30" s="116"/>
      <c r="C30" s="116"/>
      <c r="D30" s="116"/>
      <c r="E30" s="116"/>
      <c r="F30" s="116"/>
      <c r="G30" s="116"/>
      <c r="H30" s="116"/>
      <c r="I30" s="116"/>
      <c r="J30" s="5">
        <f>SUM(J24:J29)</f>
        <v>1433.556</v>
      </c>
    </row>
    <row r="31" spans="1:17" ht="13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Q31" s="54"/>
    </row>
    <row r="32" spans="1:17" ht="16.149999999999999" customHeight="1">
      <c r="A32" s="112" t="s">
        <v>33</v>
      </c>
      <c r="B32" s="112"/>
      <c r="C32" s="112"/>
      <c r="D32" s="112"/>
      <c r="E32" s="112"/>
      <c r="F32" s="112"/>
      <c r="G32" s="112"/>
      <c r="H32" s="112"/>
      <c r="I32" s="112"/>
      <c r="J32" s="112"/>
    </row>
    <row r="33" spans="1:13" ht="14">
      <c r="A33" s="129" t="s">
        <v>34</v>
      </c>
      <c r="B33" s="129"/>
      <c r="C33" s="129"/>
      <c r="D33" s="129"/>
      <c r="E33" s="129"/>
      <c r="F33" s="129"/>
      <c r="G33" s="129"/>
      <c r="H33" s="129"/>
      <c r="I33" s="129"/>
      <c r="J33" s="129"/>
    </row>
    <row r="34" spans="1:13" ht="14">
      <c r="A34" s="6" t="s">
        <v>35</v>
      </c>
      <c r="B34" s="130" t="s">
        <v>36</v>
      </c>
      <c r="C34" s="130"/>
      <c r="D34" s="130"/>
      <c r="E34" s="130"/>
      <c r="F34" s="130"/>
      <c r="G34" s="130"/>
      <c r="H34" s="130"/>
      <c r="I34" s="130"/>
      <c r="J34" s="7" t="s">
        <v>37</v>
      </c>
    </row>
    <row r="35" spans="1:13" ht="27.65" customHeight="1">
      <c r="A35" s="8" t="s">
        <v>5</v>
      </c>
      <c r="B35" s="109" t="s">
        <v>38</v>
      </c>
      <c r="C35" s="109"/>
      <c r="D35" s="109"/>
      <c r="E35" s="109"/>
      <c r="F35" s="109"/>
      <c r="G35" s="109"/>
      <c r="H35" s="109"/>
      <c r="I35" s="9">
        <v>8.3299999999999999E-2</v>
      </c>
      <c r="J35" s="10">
        <f>ROUND($J$30*I35,2)</f>
        <v>119.42</v>
      </c>
      <c r="M35" s="55"/>
    </row>
    <row r="36" spans="1:13" ht="36.25" customHeight="1">
      <c r="A36" s="8" t="s">
        <v>7</v>
      </c>
      <c r="B36" s="120" t="s">
        <v>39</v>
      </c>
      <c r="C36" s="120"/>
      <c r="D36" s="120"/>
      <c r="E36" s="120"/>
      <c r="F36" s="120"/>
      <c r="G36" s="120"/>
      <c r="H36" s="120"/>
      <c r="I36" s="11">
        <v>3.0249999999999999E-2</v>
      </c>
      <c r="J36" s="10">
        <f>ROUND($J$30*I36,2)</f>
        <v>43.37</v>
      </c>
    </row>
    <row r="37" spans="1:13" ht="13">
      <c r="A37" s="128" t="s">
        <v>40</v>
      </c>
      <c r="B37" s="128"/>
      <c r="C37" s="128"/>
      <c r="D37" s="128"/>
      <c r="E37" s="128"/>
      <c r="F37" s="128"/>
      <c r="G37" s="128"/>
      <c r="H37" s="128"/>
      <c r="I37" s="128"/>
      <c r="J37" s="70">
        <f>SUM(J35+J36)</f>
        <v>162.79</v>
      </c>
    </row>
    <row r="38" spans="1:13" ht="13">
      <c r="A38" s="101"/>
      <c r="B38" s="101"/>
      <c r="C38" s="101"/>
      <c r="D38" s="101"/>
      <c r="E38" s="101"/>
      <c r="F38" s="101"/>
      <c r="G38" s="101"/>
      <c r="H38" s="101"/>
      <c r="I38" s="101"/>
      <c r="J38" s="101"/>
    </row>
    <row r="39" spans="1:13" ht="30.4" customHeight="1">
      <c r="A39" s="112" t="s">
        <v>41</v>
      </c>
      <c r="B39" s="112"/>
      <c r="C39" s="112"/>
      <c r="D39" s="112"/>
      <c r="E39" s="112"/>
      <c r="F39" s="112"/>
      <c r="G39" s="112"/>
      <c r="H39" s="112"/>
      <c r="I39" s="112"/>
      <c r="J39" s="112"/>
    </row>
    <row r="40" spans="1:13" ht="30.4" customHeight="1">
      <c r="A40" s="69" t="s">
        <v>42</v>
      </c>
      <c r="B40" s="113" t="s">
        <v>43</v>
      </c>
      <c r="C40" s="113"/>
      <c r="D40" s="113"/>
      <c r="E40" s="113"/>
      <c r="F40" s="113"/>
      <c r="G40" s="113"/>
      <c r="H40" s="113"/>
      <c r="I40" s="68" t="s">
        <v>44</v>
      </c>
      <c r="J40" s="68" t="s">
        <v>45</v>
      </c>
    </row>
    <row r="41" spans="1:13" ht="13">
      <c r="A41" s="8" t="s">
        <v>5</v>
      </c>
      <c r="B41" s="104" t="s">
        <v>46</v>
      </c>
      <c r="C41" s="104"/>
      <c r="D41" s="104"/>
      <c r="E41" s="104"/>
      <c r="F41" s="104"/>
      <c r="G41" s="104"/>
      <c r="H41" s="104"/>
      <c r="I41" s="15">
        <v>0.2</v>
      </c>
      <c r="J41" s="16">
        <f>ROUND(($J$30+$J$37)*I41,2)</f>
        <v>319.27</v>
      </c>
    </row>
    <row r="42" spans="1:13" ht="13">
      <c r="A42" s="8" t="s">
        <v>7</v>
      </c>
      <c r="B42" s="104" t="s">
        <v>47</v>
      </c>
      <c r="C42" s="104"/>
      <c r="D42" s="104"/>
      <c r="E42" s="104"/>
      <c r="F42" s="104"/>
      <c r="G42" s="104"/>
      <c r="H42" s="104"/>
      <c r="I42" s="15">
        <v>2.5000000000000001E-2</v>
      </c>
      <c r="J42" s="16">
        <f t="shared" ref="J42:J48" si="0">ROUND(($J$30+$J$37)*I42,2)</f>
        <v>39.909999999999997</v>
      </c>
    </row>
    <row r="43" spans="1:13" ht="23.9" customHeight="1">
      <c r="A43" s="8" t="s">
        <v>9</v>
      </c>
      <c r="B43" s="109" t="s">
        <v>48</v>
      </c>
      <c r="C43" s="109"/>
      <c r="D43" s="109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15.96</v>
      </c>
    </row>
    <row r="44" spans="1:13" ht="13">
      <c r="A44" s="8" t="s">
        <v>12</v>
      </c>
      <c r="B44" s="104" t="s">
        <v>51</v>
      </c>
      <c r="C44" s="104"/>
      <c r="D44" s="104"/>
      <c r="E44" s="104"/>
      <c r="F44" s="104"/>
      <c r="G44" s="104"/>
      <c r="H44" s="104"/>
      <c r="I44" s="15">
        <v>1.4999999999999999E-2</v>
      </c>
      <c r="J44" s="16">
        <f t="shared" si="0"/>
        <v>23.95</v>
      </c>
    </row>
    <row r="45" spans="1:13" ht="13">
      <c r="A45" s="8" t="s">
        <v>29</v>
      </c>
      <c r="B45" s="104" t="s">
        <v>52</v>
      </c>
      <c r="C45" s="104"/>
      <c r="D45" s="104"/>
      <c r="E45" s="104"/>
      <c r="F45" s="104"/>
      <c r="G45" s="104"/>
      <c r="H45" s="104"/>
      <c r="I45" s="15">
        <v>0.01</v>
      </c>
      <c r="J45" s="16">
        <f t="shared" si="0"/>
        <v>15.96</v>
      </c>
    </row>
    <row r="46" spans="1:13" ht="13">
      <c r="A46" s="8" t="s">
        <v>53</v>
      </c>
      <c r="B46" s="104" t="s">
        <v>54</v>
      </c>
      <c r="C46" s="104"/>
      <c r="D46" s="104"/>
      <c r="E46" s="104"/>
      <c r="F46" s="104"/>
      <c r="G46" s="104"/>
      <c r="H46" s="104"/>
      <c r="I46" s="15">
        <v>6.0000000000000001E-3</v>
      </c>
      <c r="J46" s="16">
        <f t="shared" si="0"/>
        <v>9.58</v>
      </c>
    </row>
    <row r="47" spans="1:13" ht="13">
      <c r="A47" s="8" t="s">
        <v>55</v>
      </c>
      <c r="B47" s="104" t="s">
        <v>56</v>
      </c>
      <c r="C47" s="104"/>
      <c r="D47" s="104"/>
      <c r="E47" s="104"/>
      <c r="F47" s="104"/>
      <c r="G47" s="104"/>
      <c r="H47" s="104"/>
      <c r="I47" s="15">
        <v>2E-3</v>
      </c>
      <c r="J47" s="16">
        <f t="shared" si="0"/>
        <v>3.19</v>
      </c>
    </row>
    <row r="48" spans="1:13" ht="13">
      <c r="A48" s="8" t="s">
        <v>57</v>
      </c>
      <c r="B48" s="104" t="s">
        <v>58</v>
      </c>
      <c r="C48" s="104"/>
      <c r="D48" s="104"/>
      <c r="E48" s="104"/>
      <c r="F48" s="104"/>
      <c r="G48" s="104"/>
      <c r="H48" s="104"/>
      <c r="I48" s="15">
        <v>0.08</v>
      </c>
      <c r="J48" s="16">
        <f t="shared" si="0"/>
        <v>127.71</v>
      </c>
    </row>
    <row r="49" spans="1:12" ht="13">
      <c r="A49" s="105" t="s">
        <v>40</v>
      </c>
      <c r="B49" s="105"/>
      <c r="C49" s="105"/>
      <c r="D49" s="105"/>
      <c r="E49" s="105"/>
      <c r="F49" s="105"/>
      <c r="G49" s="105"/>
      <c r="H49" s="105"/>
      <c r="I49" s="21">
        <f>SUM(I41:I48)</f>
        <v>0.34800000000000003</v>
      </c>
      <c r="J49" s="14">
        <f>SUM(J41:J48)</f>
        <v>555.52999999999986</v>
      </c>
    </row>
    <row r="50" spans="1:12" ht="13">
      <c r="A50" s="101"/>
      <c r="B50" s="101"/>
      <c r="C50" s="101"/>
      <c r="D50" s="101"/>
      <c r="E50" s="101"/>
      <c r="F50" s="101"/>
      <c r="G50" s="101"/>
      <c r="H50" s="101"/>
      <c r="I50" s="101"/>
      <c r="J50" s="101"/>
    </row>
    <row r="51" spans="1:12" ht="16.149999999999999" customHeight="1">
      <c r="A51" s="112" t="s">
        <v>59</v>
      </c>
      <c r="B51" s="112"/>
      <c r="C51" s="112"/>
      <c r="D51" s="112"/>
      <c r="E51" s="112"/>
      <c r="F51" s="112"/>
      <c r="G51" s="112"/>
      <c r="H51" s="112"/>
      <c r="I51" s="112"/>
      <c r="J51" s="112"/>
      <c r="L51" s="53"/>
    </row>
    <row r="52" spans="1:12" ht="16.149999999999999" customHeight="1">
      <c r="A52" s="69" t="s">
        <v>60</v>
      </c>
      <c r="B52" s="113" t="s">
        <v>61</v>
      </c>
      <c r="C52" s="113"/>
      <c r="D52" s="113"/>
      <c r="E52" s="113"/>
      <c r="F52" s="113"/>
      <c r="G52" s="113"/>
      <c r="H52" s="113"/>
      <c r="I52" s="113"/>
      <c r="J52" s="68" t="s">
        <v>37</v>
      </c>
    </row>
    <row r="53" spans="1:12" ht="13">
      <c r="A53" s="8" t="s">
        <v>5</v>
      </c>
      <c r="B53" s="104" t="s">
        <v>62</v>
      </c>
      <c r="C53" s="104"/>
      <c r="D53" s="104"/>
      <c r="E53" s="104"/>
      <c r="F53" s="104"/>
      <c r="G53" s="104"/>
      <c r="H53" s="104"/>
      <c r="I53" s="104"/>
      <c r="J53" s="16">
        <f>IF(ROUND((I56*I54*I55)-(J24*0.06),2)&lt;0,0,ROUND((I56*I54*I55)-(J24*0.06),2))</f>
        <v>139.52000000000001</v>
      </c>
    </row>
    <row r="54" spans="1:12" ht="13">
      <c r="A54" s="8"/>
      <c r="B54" s="121" t="s">
        <v>63</v>
      </c>
      <c r="C54" s="121"/>
      <c r="D54" s="121"/>
      <c r="E54" s="121"/>
      <c r="F54" s="121"/>
      <c r="G54" s="121"/>
      <c r="H54" s="121"/>
      <c r="I54" s="22">
        <v>4.8</v>
      </c>
      <c r="J54" s="51" t="s">
        <v>64</v>
      </c>
    </row>
    <row r="55" spans="1:12" ht="13">
      <c r="A55" s="8"/>
      <c r="B55" s="121" t="s">
        <v>65</v>
      </c>
      <c r="C55" s="121"/>
      <c r="D55" s="121"/>
      <c r="E55" s="121"/>
      <c r="F55" s="121"/>
      <c r="G55" s="121"/>
      <c r="H55" s="121"/>
      <c r="I55" s="23">
        <v>2</v>
      </c>
      <c r="J55" s="51"/>
    </row>
    <row r="56" spans="1:12" ht="13">
      <c r="A56" s="8"/>
      <c r="B56" s="121" t="s">
        <v>66</v>
      </c>
      <c r="C56" s="121"/>
      <c r="D56" s="121"/>
      <c r="E56" s="121"/>
      <c r="F56" s="121"/>
      <c r="G56" s="121"/>
      <c r="H56" s="121"/>
      <c r="I56" s="24">
        <v>22</v>
      </c>
      <c r="J56" s="51"/>
    </row>
    <row r="57" spans="1:12" ht="13">
      <c r="A57" s="8" t="s">
        <v>7</v>
      </c>
      <c r="B57" s="104" t="s">
        <v>67</v>
      </c>
      <c r="C57" s="104"/>
      <c r="D57" s="104"/>
      <c r="E57" s="104"/>
      <c r="F57" s="104"/>
      <c r="G57" s="104"/>
      <c r="H57" s="104"/>
      <c r="I57" s="104"/>
      <c r="J57" s="16">
        <f>ROUND((I58*I59)-(I59*I58*I60),2)</f>
        <v>359.61</v>
      </c>
    </row>
    <row r="58" spans="1:12" ht="13">
      <c r="A58" s="8"/>
      <c r="B58" s="121" t="s">
        <v>68</v>
      </c>
      <c r="C58" s="121"/>
      <c r="D58" s="121"/>
      <c r="E58" s="121"/>
      <c r="F58" s="121"/>
      <c r="G58" s="121"/>
      <c r="H58" s="121"/>
      <c r="I58" s="22">
        <v>20.18</v>
      </c>
      <c r="J58" s="51" t="s">
        <v>64</v>
      </c>
    </row>
    <row r="59" spans="1:12" ht="13">
      <c r="A59" s="25"/>
      <c r="B59" s="121" t="s">
        <v>69</v>
      </c>
      <c r="C59" s="121"/>
      <c r="D59" s="121"/>
      <c r="E59" s="121"/>
      <c r="F59" s="121"/>
      <c r="G59" s="121"/>
      <c r="H59" s="121"/>
      <c r="I59" s="26">
        <v>22</v>
      </c>
      <c r="J59" s="51"/>
    </row>
    <row r="60" spans="1:12" ht="13">
      <c r="A60" s="25"/>
      <c r="B60" s="121" t="s">
        <v>132</v>
      </c>
      <c r="C60" s="121"/>
      <c r="D60" s="121"/>
      <c r="E60" s="121"/>
      <c r="F60" s="121"/>
      <c r="G60" s="121"/>
      <c r="H60" s="121"/>
      <c r="I60" s="52">
        <v>0.19</v>
      </c>
      <c r="J60" s="51"/>
    </row>
    <row r="61" spans="1:12" ht="27.65" customHeight="1">
      <c r="A61" s="8" t="s">
        <v>9</v>
      </c>
      <c r="B61" s="122" t="s">
        <v>70</v>
      </c>
      <c r="C61" s="123"/>
      <c r="D61" s="123"/>
      <c r="E61" s="123"/>
      <c r="F61" s="123"/>
      <c r="G61" s="123"/>
      <c r="H61" s="123"/>
      <c r="I61" s="124"/>
      <c r="J61" s="27">
        <v>0</v>
      </c>
    </row>
    <row r="62" spans="1:12" ht="27.65" customHeight="1">
      <c r="A62" s="8" t="s">
        <v>12</v>
      </c>
      <c r="B62" s="122"/>
      <c r="C62" s="123"/>
      <c r="D62" s="123"/>
      <c r="E62" s="123"/>
      <c r="F62" s="123"/>
      <c r="G62" s="123"/>
      <c r="H62" s="123"/>
      <c r="I62" s="124"/>
      <c r="J62" s="27"/>
      <c r="L62" s="50"/>
    </row>
    <row r="63" spans="1:12" ht="27.65" customHeight="1">
      <c r="A63" s="8" t="s">
        <v>12</v>
      </c>
      <c r="B63" s="122" t="s">
        <v>186</v>
      </c>
      <c r="C63" s="123"/>
      <c r="D63" s="123"/>
      <c r="E63" s="123"/>
      <c r="F63" s="123"/>
      <c r="G63" s="123"/>
      <c r="H63" s="123"/>
      <c r="I63" s="124"/>
      <c r="J63" s="27">
        <v>17.32</v>
      </c>
      <c r="L63" s="50"/>
    </row>
    <row r="64" spans="1:12" ht="13">
      <c r="A64" s="125" t="s">
        <v>32</v>
      </c>
      <c r="B64" s="126"/>
      <c r="C64" s="126"/>
      <c r="D64" s="126"/>
      <c r="E64" s="126"/>
      <c r="F64" s="126"/>
      <c r="G64" s="126"/>
      <c r="H64" s="126"/>
      <c r="I64" s="127"/>
      <c r="J64" s="14">
        <f>SUM(J53:J63)</f>
        <v>516.45000000000005</v>
      </c>
      <c r="L64" s="50"/>
    </row>
    <row r="65" spans="1:12" ht="13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L65" s="50"/>
    </row>
    <row r="66" spans="1:12" ht="16.149999999999999" customHeight="1">
      <c r="A66" s="112" t="s">
        <v>71</v>
      </c>
      <c r="B66" s="112"/>
      <c r="C66" s="112"/>
      <c r="D66" s="112"/>
      <c r="E66" s="112"/>
      <c r="F66" s="112"/>
      <c r="G66" s="112"/>
      <c r="H66" s="112"/>
      <c r="I66" s="112"/>
      <c r="J66" s="112"/>
      <c r="L66" s="50"/>
    </row>
    <row r="67" spans="1:12" ht="16.149999999999999" customHeight="1">
      <c r="A67" s="68">
        <v>2</v>
      </c>
      <c r="B67" s="115" t="s">
        <v>72</v>
      </c>
      <c r="C67" s="115"/>
      <c r="D67" s="115"/>
      <c r="E67" s="115"/>
      <c r="F67" s="115"/>
      <c r="G67" s="115"/>
      <c r="H67" s="115"/>
      <c r="I67" s="115"/>
      <c r="J67" s="68" t="s">
        <v>37</v>
      </c>
      <c r="L67" s="50"/>
    </row>
    <row r="68" spans="1:12" ht="14.65" customHeight="1">
      <c r="A68" s="1" t="s">
        <v>35</v>
      </c>
      <c r="B68" s="1"/>
      <c r="C68" s="109" t="s">
        <v>73</v>
      </c>
      <c r="D68" s="109"/>
      <c r="E68" s="109"/>
      <c r="F68" s="109"/>
      <c r="G68" s="109"/>
      <c r="H68" s="109"/>
      <c r="I68" s="109"/>
      <c r="J68" s="28">
        <f>J37</f>
        <v>162.79</v>
      </c>
      <c r="L68" s="50"/>
    </row>
    <row r="69" spans="1:12" ht="14.65" customHeight="1">
      <c r="A69" s="1" t="s">
        <v>42</v>
      </c>
      <c r="B69" s="1"/>
      <c r="C69" s="109" t="s">
        <v>43</v>
      </c>
      <c r="D69" s="109"/>
      <c r="E69" s="109"/>
      <c r="F69" s="109"/>
      <c r="G69" s="109"/>
      <c r="H69" s="109"/>
      <c r="I69" s="109"/>
      <c r="J69" s="28">
        <f>J49</f>
        <v>555.52999999999986</v>
      </c>
      <c r="L69" s="50"/>
    </row>
    <row r="70" spans="1:12" ht="14.65" customHeight="1">
      <c r="A70" s="1" t="s">
        <v>60</v>
      </c>
      <c r="B70" s="1"/>
      <c r="C70" s="109" t="s">
        <v>61</v>
      </c>
      <c r="D70" s="109"/>
      <c r="E70" s="109"/>
      <c r="F70" s="109"/>
      <c r="G70" s="109"/>
      <c r="H70" s="109"/>
      <c r="I70" s="109"/>
      <c r="J70" s="28">
        <f>J64</f>
        <v>516.45000000000005</v>
      </c>
      <c r="L70" s="50"/>
    </row>
    <row r="71" spans="1:12" ht="14.65" customHeight="1">
      <c r="A71" s="116" t="s">
        <v>40</v>
      </c>
      <c r="B71" s="116"/>
      <c r="C71" s="116"/>
      <c r="D71" s="116"/>
      <c r="E71" s="116"/>
      <c r="F71" s="116"/>
      <c r="G71" s="116"/>
      <c r="H71" s="116"/>
      <c r="I71" s="116"/>
      <c r="J71" s="29">
        <f>SUM(J68+J69+J70)</f>
        <v>1234.77</v>
      </c>
    </row>
    <row r="72" spans="1:12" ht="13">
      <c r="A72" s="101"/>
      <c r="B72" s="101"/>
      <c r="C72" s="101"/>
      <c r="D72" s="101"/>
      <c r="E72" s="101"/>
      <c r="F72" s="101"/>
      <c r="G72" s="101"/>
      <c r="H72" s="101"/>
      <c r="I72" s="101"/>
      <c r="J72" s="101"/>
    </row>
    <row r="73" spans="1:12" ht="16.149999999999999" customHeight="1">
      <c r="A73" s="112" t="s">
        <v>74</v>
      </c>
      <c r="B73" s="112"/>
      <c r="C73" s="112"/>
      <c r="D73" s="112"/>
      <c r="E73" s="112"/>
      <c r="F73" s="112"/>
      <c r="G73" s="112"/>
      <c r="H73" s="112"/>
      <c r="I73" s="112"/>
      <c r="J73" s="112"/>
    </row>
    <row r="74" spans="1:12" ht="16.149999999999999" customHeight="1">
      <c r="A74" s="69">
        <v>3</v>
      </c>
      <c r="B74" s="115" t="s">
        <v>75</v>
      </c>
      <c r="C74" s="115"/>
      <c r="D74" s="115"/>
      <c r="E74" s="115"/>
      <c r="F74" s="115"/>
      <c r="G74" s="115"/>
      <c r="H74" s="115"/>
      <c r="I74" s="115"/>
      <c r="J74" s="69" t="s">
        <v>76</v>
      </c>
    </row>
    <row r="75" spans="1:12" ht="46.5" customHeight="1">
      <c r="A75" s="8" t="s">
        <v>5</v>
      </c>
      <c r="B75" s="109" t="s">
        <v>135</v>
      </c>
      <c r="C75" s="109"/>
      <c r="D75" s="109"/>
      <c r="E75" s="109"/>
      <c r="F75" s="109"/>
      <c r="G75" s="109"/>
      <c r="H75" s="109"/>
      <c r="I75" s="109"/>
      <c r="J75" s="16">
        <f>ROUND(((J30)+(J35)+(J30/12)+(J36))/12*0.01,2)</f>
        <v>1.43</v>
      </c>
      <c r="L75" s="50"/>
    </row>
    <row r="76" spans="1:12" ht="14.65" customHeight="1">
      <c r="A76" s="8" t="s">
        <v>7</v>
      </c>
      <c r="B76" s="109" t="s">
        <v>77</v>
      </c>
      <c r="C76" s="109"/>
      <c r="D76" s="109"/>
      <c r="E76" s="109"/>
      <c r="F76" s="109"/>
      <c r="G76" s="109"/>
      <c r="H76" s="109"/>
      <c r="I76" s="109"/>
      <c r="J76" s="16">
        <f>ROUND($J$75*I48,2)</f>
        <v>0.11</v>
      </c>
    </row>
    <row r="77" spans="1:12" ht="36.25" customHeight="1">
      <c r="A77" s="8" t="s">
        <v>9</v>
      </c>
      <c r="B77" s="109" t="s">
        <v>136</v>
      </c>
      <c r="C77" s="109"/>
      <c r="D77" s="109"/>
      <c r="E77" s="109"/>
      <c r="F77" s="109"/>
      <c r="G77" s="109"/>
      <c r="H77" s="109"/>
      <c r="I77" s="30">
        <v>2.3999999999999998E-3</v>
      </c>
      <c r="J77" s="16">
        <f>ROUND($J$30*I77,2)</f>
        <v>3.44</v>
      </c>
    </row>
    <row r="78" spans="1:12" ht="34.5" customHeight="1">
      <c r="A78" s="8" t="s">
        <v>12</v>
      </c>
      <c r="B78" s="109" t="s">
        <v>138</v>
      </c>
      <c r="C78" s="109"/>
      <c r="D78" s="109"/>
      <c r="E78" s="109"/>
      <c r="F78" s="109"/>
      <c r="G78" s="109"/>
      <c r="H78" s="109"/>
      <c r="I78" s="109"/>
      <c r="J78" s="16">
        <f>J30/30*7/12*0.05</f>
        <v>1.3937350000000002</v>
      </c>
    </row>
    <row r="79" spans="1:12" ht="14.65" customHeight="1">
      <c r="A79" s="8" t="s">
        <v>29</v>
      </c>
      <c r="B79" s="109" t="s">
        <v>78</v>
      </c>
      <c r="C79" s="109"/>
      <c r="D79" s="109"/>
      <c r="E79" s="109"/>
      <c r="F79" s="109"/>
      <c r="G79" s="109"/>
      <c r="H79" s="109"/>
      <c r="I79" s="109"/>
      <c r="J79" s="16">
        <f>ROUND($I$49*J78,2)</f>
        <v>0.49</v>
      </c>
    </row>
    <row r="80" spans="1:12" ht="36.25" customHeight="1">
      <c r="A80" s="8" t="s">
        <v>53</v>
      </c>
      <c r="B80" s="109" t="s">
        <v>137</v>
      </c>
      <c r="C80" s="109"/>
      <c r="D80" s="109"/>
      <c r="E80" s="109"/>
      <c r="F80" s="109"/>
      <c r="G80" s="109"/>
      <c r="H80" s="109"/>
      <c r="I80" s="30">
        <v>3.7600000000000001E-2</v>
      </c>
      <c r="J80" s="16">
        <f>ROUND($J$30*I80,2)</f>
        <v>53.9</v>
      </c>
    </row>
    <row r="81" spans="1:10" ht="13">
      <c r="A81" s="105" t="s">
        <v>40</v>
      </c>
      <c r="B81" s="105"/>
      <c r="C81" s="105"/>
      <c r="D81" s="105"/>
      <c r="E81" s="105"/>
      <c r="F81" s="105"/>
      <c r="G81" s="105"/>
      <c r="H81" s="105"/>
      <c r="I81" s="105"/>
      <c r="J81" s="14">
        <f>SUM(J75:J80)</f>
        <v>60.763734999999997</v>
      </c>
    </row>
    <row r="82" spans="1:10" ht="13">
      <c r="A82" s="101"/>
      <c r="B82" s="101"/>
      <c r="C82" s="101"/>
      <c r="D82" s="101"/>
      <c r="E82" s="101"/>
      <c r="F82" s="101"/>
      <c r="G82" s="101"/>
      <c r="H82" s="101"/>
      <c r="I82" s="101"/>
      <c r="J82" s="101"/>
    </row>
    <row r="83" spans="1:10" ht="16.149999999999999" customHeight="1">
      <c r="A83" s="112" t="s">
        <v>79</v>
      </c>
      <c r="B83" s="112"/>
      <c r="C83" s="112"/>
      <c r="D83" s="112"/>
      <c r="E83" s="112"/>
      <c r="F83" s="112"/>
      <c r="G83" s="112"/>
      <c r="H83" s="112"/>
      <c r="I83" s="112"/>
      <c r="J83" s="112"/>
    </row>
    <row r="84" spans="1:10" ht="15" customHeight="1">
      <c r="A84" s="119" t="s">
        <v>80</v>
      </c>
      <c r="B84" s="119"/>
      <c r="C84" s="119"/>
      <c r="D84" s="119"/>
      <c r="E84" s="119"/>
      <c r="F84" s="119"/>
      <c r="G84" s="119"/>
      <c r="H84" s="119"/>
      <c r="I84" s="119"/>
      <c r="J84" s="31">
        <f>J87+J30+J35+J36</f>
        <v>1726.4459999999999</v>
      </c>
    </row>
    <row r="85" spans="1:10" ht="14.65" customHeight="1">
      <c r="A85" s="120"/>
      <c r="B85" s="120"/>
      <c r="C85" s="120"/>
      <c r="D85" s="120"/>
      <c r="E85" s="120"/>
      <c r="F85" s="120"/>
      <c r="G85" s="120"/>
      <c r="H85" s="120"/>
      <c r="I85" s="120"/>
      <c r="J85" s="120"/>
    </row>
    <row r="86" spans="1:10" ht="14">
      <c r="A86" s="32" t="s">
        <v>81</v>
      </c>
      <c r="B86" s="113" t="s">
        <v>82</v>
      </c>
      <c r="C86" s="113"/>
      <c r="D86" s="113"/>
      <c r="E86" s="113"/>
      <c r="F86" s="113"/>
      <c r="G86" s="113"/>
      <c r="H86" s="113"/>
      <c r="I86" s="113"/>
      <c r="J86" s="32" t="s">
        <v>37</v>
      </c>
    </row>
    <row r="87" spans="1:10" ht="12.75" customHeight="1">
      <c r="A87" s="12" t="s">
        <v>5</v>
      </c>
      <c r="B87" s="109" t="s">
        <v>83</v>
      </c>
      <c r="C87" s="109"/>
      <c r="D87" s="109"/>
      <c r="E87" s="109"/>
      <c r="F87" s="109"/>
      <c r="G87" s="109"/>
      <c r="H87" s="109"/>
      <c r="I87" s="33">
        <f>12.1%-I36</f>
        <v>9.0749999999999997E-2</v>
      </c>
      <c r="J87" s="16">
        <f>ROUND(($J$30*I87),2)</f>
        <v>130.1</v>
      </c>
    </row>
    <row r="88" spans="1:10" ht="13">
      <c r="A88" s="12" t="s">
        <v>7</v>
      </c>
      <c r="B88" s="104" t="s">
        <v>131</v>
      </c>
      <c r="C88" s="104"/>
      <c r="D88" s="104"/>
      <c r="E88" s="104"/>
      <c r="F88" s="104"/>
      <c r="G88" s="104"/>
      <c r="H88" s="104"/>
      <c r="I88" s="104"/>
      <c r="J88" s="34">
        <f>J84/30*0.1/12</f>
        <v>0.47956833333333332</v>
      </c>
    </row>
    <row r="89" spans="1:10" ht="13">
      <c r="A89" s="12" t="s">
        <v>9</v>
      </c>
      <c r="B89" s="104" t="s">
        <v>84</v>
      </c>
      <c r="C89" s="104"/>
      <c r="D89" s="104"/>
      <c r="E89" s="104"/>
      <c r="F89" s="104"/>
      <c r="G89" s="104"/>
      <c r="H89" s="104"/>
      <c r="I89" s="104"/>
      <c r="J89" s="34">
        <f>J84/30*5/12*1.5%</f>
        <v>0.35967624999999998</v>
      </c>
    </row>
    <row r="90" spans="1:10" ht="13">
      <c r="A90" s="12" t="s">
        <v>12</v>
      </c>
      <c r="B90" s="104" t="s">
        <v>85</v>
      </c>
      <c r="C90" s="104"/>
      <c r="D90" s="104"/>
      <c r="E90" s="104"/>
      <c r="F90" s="104"/>
      <c r="G90" s="104"/>
      <c r="H90" s="104"/>
      <c r="I90" s="104"/>
      <c r="J90" s="13">
        <f>J84/30*15/12*0.78%</f>
        <v>0.56109494999999998</v>
      </c>
    </row>
    <row r="91" spans="1:10" ht="13">
      <c r="A91" s="12" t="s">
        <v>29</v>
      </c>
      <c r="B91" s="104" t="s">
        <v>86</v>
      </c>
      <c r="C91" s="104"/>
      <c r="D91" s="104"/>
      <c r="E91" s="104"/>
      <c r="F91" s="104"/>
      <c r="G91" s="104"/>
      <c r="H91" s="104"/>
      <c r="I91" s="104"/>
      <c r="J91" s="16">
        <f>(J30+J36)/12*4/12*1%</f>
        <v>0.41025722222222222</v>
      </c>
    </row>
    <row r="92" spans="1:10" ht="13">
      <c r="A92" s="35" t="s">
        <v>53</v>
      </c>
      <c r="B92" s="118" t="s">
        <v>87</v>
      </c>
      <c r="C92" s="118"/>
      <c r="D92" s="118"/>
      <c r="E92" s="118"/>
      <c r="F92" s="118"/>
      <c r="G92" s="118"/>
      <c r="H92" s="118"/>
      <c r="I92" s="118"/>
      <c r="J92" s="13">
        <f>J84/30*0.15/12</f>
        <v>0.71935249999999984</v>
      </c>
    </row>
    <row r="93" spans="1:10" ht="13">
      <c r="A93" s="105" t="s">
        <v>40</v>
      </c>
      <c r="B93" s="105"/>
      <c r="C93" s="105"/>
      <c r="D93" s="105"/>
      <c r="E93" s="105"/>
      <c r="F93" s="105"/>
      <c r="G93" s="105"/>
      <c r="H93" s="105"/>
      <c r="I93" s="105"/>
      <c r="J93" s="36">
        <f>SUM(J87:J92)</f>
        <v>132.62994925555557</v>
      </c>
    </row>
    <row r="94" spans="1:10" ht="14.65" customHeight="1">
      <c r="A94" s="12"/>
      <c r="B94" s="104"/>
      <c r="C94" s="104"/>
      <c r="D94" s="104"/>
      <c r="E94" s="104"/>
      <c r="F94" s="104"/>
      <c r="G94" s="104"/>
      <c r="H94" s="104"/>
      <c r="I94" s="104"/>
      <c r="J94" s="13"/>
    </row>
    <row r="95" spans="1:10" ht="13">
      <c r="A95" s="105" t="s">
        <v>40</v>
      </c>
      <c r="B95" s="105"/>
      <c r="C95" s="105"/>
      <c r="D95" s="105"/>
      <c r="E95" s="105"/>
      <c r="F95" s="105"/>
      <c r="G95" s="105"/>
      <c r="H95" s="105"/>
      <c r="I95" s="105"/>
      <c r="J95" s="14">
        <f>SUM(J93:J94)</f>
        <v>132.62994925555557</v>
      </c>
    </row>
    <row r="96" spans="1:10" ht="16.149999999999999" customHeight="1">
      <c r="A96" s="112" t="s">
        <v>88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14">
      <c r="A97" s="69" t="s">
        <v>89</v>
      </c>
      <c r="B97" s="113" t="s">
        <v>90</v>
      </c>
      <c r="C97" s="113"/>
      <c r="D97" s="113"/>
      <c r="E97" s="113"/>
      <c r="F97" s="113"/>
      <c r="G97" s="113"/>
      <c r="H97" s="113"/>
      <c r="I97" s="113"/>
      <c r="J97" s="37" t="s">
        <v>37</v>
      </c>
    </row>
    <row r="98" spans="1:10" ht="13">
      <c r="A98" s="8" t="s">
        <v>5</v>
      </c>
      <c r="B98" s="104" t="s">
        <v>91</v>
      </c>
      <c r="C98" s="104"/>
      <c r="D98" s="104"/>
      <c r="E98" s="104"/>
      <c r="F98" s="104"/>
      <c r="G98" s="104"/>
      <c r="H98" s="104"/>
      <c r="I98" s="104"/>
      <c r="J98" s="16">
        <v>0</v>
      </c>
    </row>
    <row r="99" spans="1:10" ht="13">
      <c r="A99" s="117" t="s">
        <v>40</v>
      </c>
      <c r="B99" s="117"/>
      <c r="C99" s="117"/>
      <c r="D99" s="117"/>
      <c r="E99" s="117"/>
      <c r="F99" s="117"/>
      <c r="G99" s="117"/>
      <c r="H99" s="117"/>
      <c r="I99" s="117"/>
      <c r="J99" s="16">
        <v>0</v>
      </c>
    </row>
    <row r="100" spans="1:10" ht="13">
      <c r="A100" s="12"/>
      <c r="B100" s="104"/>
      <c r="C100" s="104"/>
      <c r="D100" s="104"/>
      <c r="E100" s="104"/>
      <c r="F100" s="104"/>
      <c r="G100" s="104"/>
      <c r="H100" s="104"/>
      <c r="I100" s="104"/>
      <c r="J100" s="13"/>
    </row>
    <row r="101" spans="1:10" ht="13">
      <c r="A101" s="105" t="s">
        <v>40</v>
      </c>
      <c r="B101" s="105"/>
      <c r="C101" s="105"/>
      <c r="D101" s="105"/>
      <c r="E101" s="105"/>
      <c r="F101" s="105"/>
      <c r="G101" s="105"/>
      <c r="H101" s="105"/>
      <c r="I101" s="105"/>
      <c r="J101" s="14">
        <f>SUM(J99:J100)</f>
        <v>0</v>
      </c>
    </row>
    <row r="102" spans="1:10" ht="13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</row>
    <row r="103" spans="1:10" ht="16.149999999999999" customHeight="1">
      <c r="A103" s="112" t="s">
        <v>92</v>
      </c>
      <c r="B103" s="112"/>
      <c r="C103" s="112"/>
      <c r="D103" s="112"/>
      <c r="E103" s="112"/>
      <c r="F103" s="112"/>
      <c r="G103" s="112"/>
      <c r="H103" s="112"/>
      <c r="I103" s="112"/>
      <c r="J103" s="112"/>
    </row>
    <row r="104" spans="1:10" ht="16.149999999999999" customHeight="1">
      <c r="A104" s="68">
        <v>4</v>
      </c>
      <c r="B104" s="115" t="s">
        <v>93</v>
      </c>
      <c r="C104" s="115"/>
      <c r="D104" s="115"/>
      <c r="E104" s="115"/>
      <c r="F104" s="115"/>
      <c r="G104" s="115"/>
      <c r="H104" s="115"/>
      <c r="I104" s="115"/>
      <c r="J104" s="37" t="s">
        <v>37</v>
      </c>
    </row>
    <row r="105" spans="1:10" ht="14.65" customHeight="1">
      <c r="A105" s="1" t="s">
        <v>81</v>
      </c>
      <c r="B105" s="109" t="s">
        <v>94</v>
      </c>
      <c r="C105" s="109"/>
      <c r="D105" s="109"/>
      <c r="E105" s="109"/>
      <c r="F105" s="109"/>
      <c r="G105" s="109"/>
      <c r="H105" s="109"/>
      <c r="I105" s="109"/>
      <c r="J105" s="16">
        <f>J95</f>
        <v>132.62994925555557</v>
      </c>
    </row>
    <row r="106" spans="1:10" ht="14.65" customHeight="1">
      <c r="A106" s="1" t="s">
        <v>95</v>
      </c>
      <c r="B106" s="109" t="s">
        <v>96</v>
      </c>
      <c r="C106" s="109"/>
      <c r="D106" s="109"/>
      <c r="E106" s="109"/>
      <c r="F106" s="109"/>
      <c r="G106" s="109"/>
      <c r="H106" s="109"/>
      <c r="I106" s="109"/>
      <c r="J106" s="16">
        <f>J101</f>
        <v>0</v>
      </c>
    </row>
    <row r="107" spans="1:10" ht="14.65" customHeight="1">
      <c r="A107" s="116" t="s">
        <v>40</v>
      </c>
      <c r="B107" s="116"/>
      <c r="C107" s="116"/>
      <c r="D107" s="116"/>
      <c r="E107" s="116"/>
      <c r="F107" s="116"/>
      <c r="G107" s="116"/>
      <c r="H107" s="116"/>
      <c r="I107" s="116"/>
      <c r="J107" s="14">
        <f>SUM(J105+J106)</f>
        <v>132.62994925555557</v>
      </c>
    </row>
    <row r="108" spans="1:10" ht="13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</row>
    <row r="109" spans="1:10" ht="16.149999999999999" customHeight="1">
      <c r="A109" s="112" t="s">
        <v>97</v>
      </c>
      <c r="B109" s="112"/>
      <c r="C109" s="112"/>
      <c r="D109" s="112"/>
      <c r="E109" s="112"/>
      <c r="F109" s="112"/>
      <c r="G109" s="112"/>
      <c r="H109" s="112"/>
      <c r="I109" s="112"/>
      <c r="J109" s="112"/>
    </row>
    <row r="110" spans="1:10" ht="16.149999999999999" customHeight="1">
      <c r="A110" s="69">
        <v>5</v>
      </c>
      <c r="B110" s="113" t="s">
        <v>98</v>
      </c>
      <c r="C110" s="113"/>
      <c r="D110" s="113"/>
      <c r="E110" s="113"/>
      <c r="F110" s="113"/>
      <c r="G110" s="113"/>
      <c r="H110" s="113"/>
      <c r="I110" s="113"/>
      <c r="J110" s="69" t="s">
        <v>37</v>
      </c>
    </row>
    <row r="111" spans="1:10" ht="13">
      <c r="A111" s="8" t="s">
        <v>5</v>
      </c>
      <c r="B111" s="104" t="s">
        <v>185</v>
      </c>
      <c r="C111" s="104"/>
      <c r="D111" s="104"/>
      <c r="E111" s="104"/>
      <c r="F111" s="104"/>
      <c r="G111" s="104"/>
      <c r="H111" s="104"/>
      <c r="I111" s="104"/>
      <c r="J111" s="16">
        <f>Descritivo!E48</f>
        <v>91.369065656565652</v>
      </c>
    </row>
    <row r="112" spans="1:10" ht="13">
      <c r="A112" s="8" t="s">
        <v>7</v>
      </c>
      <c r="B112" s="104" t="s">
        <v>99</v>
      </c>
      <c r="C112" s="104"/>
      <c r="D112" s="104"/>
      <c r="E112" s="104"/>
      <c r="F112" s="104"/>
      <c r="G112" s="104"/>
      <c r="H112" s="104"/>
      <c r="I112" s="104"/>
      <c r="J112" s="27">
        <f>Descritivo!D93</f>
        <v>116.16919191919192</v>
      </c>
    </row>
    <row r="113" spans="1:10" ht="13">
      <c r="A113" s="8" t="s">
        <v>9</v>
      </c>
      <c r="B113" s="104" t="s">
        <v>139</v>
      </c>
      <c r="C113" s="104"/>
      <c r="D113" s="104"/>
      <c r="E113" s="104"/>
      <c r="F113" s="104"/>
      <c r="G113" s="104"/>
      <c r="H113" s="104"/>
      <c r="I113" s="104"/>
      <c r="J113" s="27">
        <f>Descritivo!C101</f>
        <v>36.363636363636367</v>
      </c>
    </row>
    <row r="114" spans="1:10" ht="13">
      <c r="A114" s="8" t="s">
        <v>12</v>
      </c>
      <c r="B114" s="104" t="s">
        <v>100</v>
      </c>
      <c r="C114" s="104"/>
      <c r="D114" s="104"/>
      <c r="E114" s="104"/>
      <c r="F114" s="104"/>
      <c r="G114" s="104"/>
      <c r="H114" s="104"/>
      <c r="I114" s="104"/>
      <c r="J114" s="27"/>
    </row>
    <row r="115" spans="1:10" ht="13">
      <c r="A115" s="105" t="s">
        <v>32</v>
      </c>
      <c r="B115" s="105"/>
      <c r="C115" s="105"/>
      <c r="D115" s="105"/>
      <c r="E115" s="105"/>
      <c r="F115" s="105"/>
      <c r="G115" s="105"/>
      <c r="H115" s="105"/>
      <c r="I115" s="105"/>
      <c r="J115" s="38">
        <f>SUM(J111:J114)</f>
        <v>243.90189393939394</v>
      </c>
    </row>
    <row r="116" spans="1:10" ht="13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</row>
    <row r="117" spans="1:10" ht="16.149999999999999" customHeight="1">
      <c r="A117" s="112" t="s">
        <v>101</v>
      </c>
      <c r="B117" s="112"/>
      <c r="C117" s="112"/>
      <c r="D117" s="112"/>
      <c r="E117" s="112"/>
      <c r="F117" s="112"/>
      <c r="G117" s="112"/>
      <c r="H117" s="112"/>
      <c r="I117" s="112"/>
      <c r="J117" s="112"/>
    </row>
    <row r="118" spans="1:10" ht="28">
      <c r="A118" s="69">
        <v>6</v>
      </c>
      <c r="B118" s="113" t="s">
        <v>102</v>
      </c>
      <c r="C118" s="113"/>
      <c r="D118" s="113"/>
      <c r="E118" s="113"/>
      <c r="F118" s="113"/>
      <c r="G118" s="113"/>
      <c r="H118" s="113"/>
      <c r="I118" s="68" t="s">
        <v>44</v>
      </c>
      <c r="J118" s="39" t="s">
        <v>103</v>
      </c>
    </row>
    <row r="119" spans="1:10" ht="12.75" customHeight="1">
      <c r="A119" s="111" t="s">
        <v>104</v>
      </c>
      <c r="B119" s="111"/>
      <c r="C119" s="111"/>
      <c r="D119" s="111"/>
      <c r="E119" s="111"/>
      <c r="F119" s="111"/>
      <c r="G119" s="111"/>
      <c r="H119" s="111"/>
      <c r="I119" s="40" t="s">
        <v>64</v>
      </c>
      <c r="J119" s="41">
        <f>SUM(J30+J71+J81+J107+J115)</f>
        <v>3105.6215781949495</v>
      </c>
    </row>
    <row r="120" spans="1:10" ht="15.5">
      <c r="A120" s="42" t="s">
        <v>5</v>
      </c>
      <c r="B120" s="110" t="s">
        <v>105</v>
      </c>
      <c r="C120" s="110"/>
      <c r="D120" s="110"/>
      <c r="E120" s="110"/>
      <c r="F120" s="110"/>
      <c r="G120" s="110"/>
      <c r="H120" s="110"/>
      <c r="I120" s="15">
        <v>0.1091</v>
      </c>
      <c r="J120" s="16">
        <f>ROUND(I120*J119,2)</f>
        <v>338.82</v>
      </c>
    </row>
    <row r="121" spans="1:10" ht="12.75" customHeight="1">
      <c r="A121" s="111" t="s">
        <v>106</v>
      </c>
      <c r="B121" s="111"/>
      <c r="C121" s="111"/>
      <c r="D121" s="111"/>
      <c r="E121" s="111"/>
      <c r="F121" s="111"/>
      <c r="G121" s="111"/>
      <c r="H121" s="111"/>
      <c r="I121" s="43" t="s">
        <v>64</v>
      </c>
      <c r="J121" s="41">
        <f>SUM(J30+J71+J81+J107+J115+J120)</f>
        <v>3444.4415781949497</v>
      </c>
    </row>
    <row r="122" spans="1:10" ht="15.5">
      <c r="A122" s="42" t="s">
        <v>7</v>
      </c>
      <c r="B122" s="110" t="s">
        <v>107</v>
      </c>
      <c r="C122" s="110"/>
      <c r="D122" s="110"/>
      <c r="E122" s="110"/>
      <c r="F122" s="110"/>
      <c r="G122" s="110"/>
      <c r="H122" s="110"/>
      <c r="I122" s="20">
        <v>0.15109700000000001</v>
      </c>
      <c r="J122" s="16">
        <f>ROUND(I122*J121,2)</f>
        <v>520.44000000000005</v>
      </c>
    </row>
    <row r="123" spans="1:10" ht="12.75" customHeight="1">
      <c r="A123" s="111" t="s">
        <v>108</v>
      </c>
      <c r="B123" s="111"/>
      <c r="C123" s="111"/>
      <c r="D123" s="111"/>
      <c r="E123" s="111"/>
      <c r="F123" s="111"/>
      <c r="G123" s="111"/>
      <c r="H123" s="111"/>
      <c r="I123" s="43" t="s">
        <v>64</v>
      </c>
      <c r="J123" s="41">
        <f>SUM(J30+J71+J81+J107+J115+J120+J122)</f>
        <v>3964.8815781949497</v>
      </c>
    </row>
    <row r="124" spans="1:10" ht="15.5">
      <c r="A124" s="42" t="s">
        <v>9</v>
      </c>
      <c r="B124" s="110" t="s">
        <v>109</v>
      </c>
      <c r="C124" s="110"/>
      <c r="D124" s="110"/>
      <c r="E124" s="110"/>
      <c r="F124" s="110"/>
      <c r="G124" s="110"/>
      <c r="H124" s="110"/>
      <c r="I124" s="9" t="s">
        <v>64</v>
      </c>
      <c r="J124" s="51" t="s">
        <v>64</v>
      </c>
    </row>
    <row r="125" spans="1:10" ht="13">
      <c r="A125" s="8"/>
      <c r="B125" s="104" t="s">
        <v>110</v>
      </c>
      <c r="C125" s="104"/>
      <c r="D125" s="104"/>
      <c r="E125" s="104"/>
      <c r="F125" s="104"/>
      <c r="G125" s="104"/>
      <c r="H125" s="104"/>
      <c r="I125" s="9" t="s">
        <v>64</v>
      </c>
      <c r="J125" s="51" t="s">
        <v>64</v>
      </c>
    </row>
    <row r="126" spans="1:10" ht="13">
      <c r="A126" s="8"/>
      <c r="B126" s="104" t="s">
        <v>111</v>
      </c>
      <c r="C126" s="104"/>
      <c r="D126" s="104"/>
      <c r="E126" s="104"/>
      <c r="F126" s="104"/>
      <c r="G126" s="104"/>
      <c r="H126" s="104"/>
      <c r="I126" s="44">
        <v>0.03</v>
      </c>
      <c r="J126" s="16">
        <f>ROUND(($J$123/(1-$I$135))*I126,2)</f>
        <v>130.21</v>
      </c>
    </row>
    <row r="127" spans="1:10" ht="13">
      <c r="A127" s="8"/>
      <c r="B127" s="104" t="s">
        <v>112</v>
      </c>
      <c r="C127" s="104"/>
      <c r="D127" s="104"/>
      <c r="E127" s="104"/>
      <c r="F127" s="104"/>
      <c r="G127" s="104"/>
      <c r="H127" s="104"/>
      <c r="I127" s="44">
        <v>6.4999999999999997E-3</v>
      </c>
      <c r="J127" s="16">
        <f>ROUND(($J$123/(1-$I$135))*I127,2)</f>
        <v>28.21</v>
      </c>
    </row>
    <row r="128" spans="1:10" ht="27.65" customHeight="1">
      <c r="A128" s="8"/>
      <c r="B128" s="109" t="s">
        <v>113</v>
      </c>
      <c r="C128" s="109"/>
      <c r="D128" s="109"/>
      <c r="E128" s="109"/>
      <c r="F128" s="109"/>
      <c r="G128" s="109"/>
      <c r="H128" s="109"/>
      <c r="I128" s="45" t="s">
        <v>64</v>
      </c>
      <c r="J128" s="51" t="s">
        <v>64</v>
      </c>
    </row>
    <row r="129" spans="1:10" ht="27.65" customHeight="1">
      <c r="A129" s="8"/>
      <c r="B129" s="109" t="s">
        <v>114</v>
      </c>
      <c r="C129" s="109"/>
      <c r="D129" s="109"/>
      <c r="E129" s="109"/>
      <c r="F129" s="109"/>
      <c r="G129" s="109"/>
      <c r="H129" s="109"/>
      <c r="I129" s="45" t="s">
        <v>64</v>
      </c>
      <c r="J129" s="51" t="s">
        <v>64</v>
      </c>
    </row>
    <row r="130" spans="1:10" ht="13">
      <c r="A130" s="8"/>
      <c r="B130" s="104" t="s">
        <v>115</v>
      </c>
      <c r="C130" s="104"/>
      <c r="D130" s="104"/>
      <c r="E130" s="104"/>
      <c r="F130" s="104"/>
      <c r="G130" s="104"/>
      <c r="H130" s="104"/>
      <c r="I130" s="45" t="s">
        <v>64</v>
      </c>
      <c r="J130" s="51" t="s">
        <v>64</v>
      </c>
    </row>
    <row r="131" spans="1:10" ht="13">
      <c r="A131" s="8"/>
      <c r="B131" s="104" t="s">
        <v>116</v>
      </c>
      <c r="C131" s="104"/>
      <c r="D131" s="104"/>
      <c r="E131" s="104"/>
      <c r="F131" s="104"/>
      <c r="G131" s="104"/>
      <c r="H131" s="104"/>
      <c r="I131" s="45" t="s">
        <v>64</v>
      </c>
      <c r="J131" s="51" t="s">
        <v>64</v>
      </c>
    </row>
    <row r="132" spans="1:10" ht="13">
      <c r="A132" s="8"/>
      <c r="B132" s="104" t="s">
        <v>134</v>
      </c>
      <c r="C132" s="104"/>
      <c r="D132" s="104"/>
      <c r="E132" s="104"/>
      <c r="F132" s="104"/>
      <c r="G132" s="104"/>
      <c r="H132" s="104"/>
      <c r="I132" s="44">
        <v>0.05</v>
      </c>
      <c r="J132" s="16">
        <f>ROUND(($J$123/(1-$I$135))*I132,2)</f>
        <v>217.02</v>
      </c>
    </row>
    <row r="133" spans="1:10" ht="13">
      <c r="A133" s="105" t="s">
        <v>40</v>
      </c>
      <c r="B133" s="105"/>
      <c r="C133" s="105"/>
      <c r="D133" s="105"/>
      <c r="E133" s="105"/>
      <c r="F133" s="105"/>
      <c r="G133" s="105"/>
      <c r="H133" s="105"/>
      <c r="I133" s="105"/>
      <c r="J133" s="14">
        <f>SUM(J120+J122+J126+J127+J132)</f>
        <v>1234.7</v>
      </c>
    </row>
    <row r="134" spans="1:10" ht="13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</row>
    <row r="135" spans="1:10" ht="14.65" customHeight="1">
      <c r="A135" s="106" t="s">
        <v>117</v>
      </c>
      <c r="B135" s="106"/>
      <c r="C135" s="106"/>
      <c r="D135" s="106"/>
      <c r="E135" s="106"/>
      <c r="F135" s="106"/>
      <c r="G135" s="106"/>
      <c r="H135" s="106"/>
      <c r="I135" s="46">
        <f>SUM(I126:I132)</f>
        <v>8.6499999999999994E-2</v>
      </c>
      <c r="J135" s="41">
        <f>SUM(J126:J132)</f>
        <v>375.44000000000005</v>
      </c>
    </row>
    <row r="136" spans="1:10">
      <c r="A136" s="107" t="s">
        <v>118</v>
      </c>
      <c r="B136" s="107"/>
      <c r="C136" s="107"/>
      <c r="D136" s="108" t="s">
        <v>119</v>
      </c>
      <c r="E136" s="108"/>
      <c r="F136" s="108"/>
      <c r="G136" s="108"/>
      <c r="H136" s="108"/>
      <c r="I136" s="108"/>
      <c r="J136" s="108"/>
    </row>
    <row r="137" spans="1:10">
      <c r="A137" s="107"/>
      <c r="B137" s="107"/>
      <c r="C137" s="107"/>
      <c r="D137" s="108" t="s">
        <v>120</v>
      </c>
      <c r="E137" s="108"/>
      <c r="F137" s="108"/>
      <c r="G137" s="108"/>
      <c r="H137" s="108"/>
      <c r="I137" s="108"/>
      <c r="J137" s="108"/>
    </row>
    <row r="138" spans="1:10">
      <c r="A138" s="107"/>
      <c r="B138" s="107"/>
      <c r="C138" s="107"/>
      <c r="D138" s="108" t="s">
        <v>121</v>
      </c>
      <c r="E138" s="108"/>
      <c r="F138" s="108"/>
      <c r="G138" s="108"/>
      <c r="H138" s="108"/>
      <c r="I138" s="108"/>
      <c r="J138" s="108"/>
    </row>
    <row r="139" spans="1:10" ht="13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</row>
    <row r="140" spans="1:10" ht="46" customHeight="1">
      <c r="A140" s="102" t="s">
        <v>122</v>
      </c>
      <c r="B140" s="102"/>
      <c r="C140" s="102"/>
      <c r="D140" s="102"/>
      <c r="E140" s="102"/>
      <c r="F140" s="102"/>
      <c r="G140" s="102"/>
      <c r="H140" s="102"/>
      <c r="I140" s="102"/>
      <c r="J140" s="102"/>
    </row>
    <row r="141" spans="1:10" ht="14.65" customHeight="1">
      <c r="A141" s="103" t="s">
        <v>123</v>
      </c>
      <c r="B141" s="103"/>
      <c r="C141" s="103"/>
      <c r="D141" s="103"/>
      <c r="E141" s="103"/>
      <c r="F141" s="103"/>
      <c r="G141" s="103"/>
      <c r="H141" s="103"/>
      <c r="I141" s="103"/>
      <c r="J141" s="47" t="s">
        <v>37</v>
      </c>
    </row>
    <row r="142" spans="1:10" ht="14.65" customHeight="1">
      <c r="A142" s="48" t="s">
        <v>5</v>
      </c>
      <c r="B142" s="99" t="s">
        <v>124</v>
      </c>
      <c r="C142" s="99"/>
      <c r="D142" s="99"/>
      <c r="E142" s="99"/>
      <c r="F142" s="99"/>
      <c r="G142" s="99"/>
      <c r="H142" s="99"/>
      <c r="I142" s="99"/>
      <c r="J142" s="27">
        <f>J30</f>
        <v>1433.556</v>
      </c>
    </row>
    <row r="143" spans="1:10" ht="14.65" customHeight="1">
      <c r="A143" s="48" t="s">
        <v>7</v>
      </c>
      <c r="B143" s="99" t="s">
        <v>33</v>
      </c>
      <c r="C143" s="99"/>
      <c r="D143" s="99"/>
      <c r="E143" s="99"/>
      <c r="F143" s="99"/>
      <c r="G143" s="99"/>
      <c r="H143" s="99"/>
      <c r="I143" s="99"/>
      <c r="J143" s="27">
        <f>J71</f>
        <v>1234.77</v>
      </c>
    </row>
    <row r="144" spans="1:10" ht="14.65" customHeight="1">
      <c r="A144" s="48" t="s">
        <v>9</v>
      </c>
      <c r="B144" s="99" t="s">
        <v>125</v>
      </c>
      <c r="C144" s="99"/>
      <c r="D144" s="99"/>
      <c r="E144" s="99"/>
      <c r="F144" s="99"/>
      <c r="G144" s="99"/>
      <c r="H144" s="99"/>
      <c r="I144" s="99"/>
      <c r="J144" s="27">
        <f>J81</f>
        <v>60.763734999999997</v>
      </c>
    </row>
    <row r="145" spans="1:12" ht="14.65" customHeight="1">
      <c r="A145" s="48" t="s">
        <v>12</v>
      </c>
      <c r="B145" s="99" t="s">
        <v>126</v>
      </c>
      <c r="C145" s="99"/>
      <c r="D145" s="99"/>
      <c r="E145" s="99"/>
      <c r="F145" s="99"/>
      <c r="G145" s="99"/>
      <c r="H145" s="99"/>
      <c r="I145" s="99"/>
      <c r="J145" s="27">
        <f>J107</f>
        <v>132.62994925555557</v>
      </c>
    </row>
    <row r="146" spans="1:12" ht="14.65" customHeight="1">
      <c r="A146" s="48" t="s">
        <v>29</v>
      </c>
      <c r="B146" s="99" t="s">
        <v>127</v>
      </c>
      <c r="C146" s="99"/>
      <c r="D146" s="99"/>
      <c r="E146" s="99"/>
      <c r="F146" s="99"/>
      <c r="G146" s="99"/>
      <c r="H146" s="99"/>
      <c r="I146" s="99"/>
      <c r="J146" s="27">
        <f>J115</f>
        <v>243.90189393939394</v>
      </c>
    </row>
    <row r="147" spans="1:12" ht="14.65" customHeight="1">
      <c r="A147" s="100" t="s">
        <v>128</v>
      </c>
      <c r="B147" s="100"/>
      <c r="C147" s="100"/>
      <c r="D147" s="100"/>
      <c r="E147" s="100"/>
      <c r="F147" s="100"/>
      <c r="G147" s="100"/>
      <c r="H147" s="100"/>
      <c r="I147" s="100"/>
      <c r="J147" s="38">
        <f>SUM(J142:J146)</f>
        <v>3105.6215781949495</v>
      </c>
    </row>
    <row r="148" spans="1:12" ht="14.65" customHeight="1">
      <c r="A148" s="48" t="s">
        <v>53</v>
      </c>
      <c r="B148" s="99" t="s">
        <v>129</v>
      </c>
      <c r="C148" s="99"/>
      <c r="D148" s="99"/>
      <c r="E148" s="99"/>
      <c r="F148" s="99"/>
      <c r="G148" s="99"/>
      <c r="H148" s="99"/>
      <c r="I148" s="99"/>
      <c r="J148" s="27">
        <f>J133</f>
        <v>1234.7</v>
      </c>
    </row>
    <row r="149" spans="1:12" ht="14.65" customHeight="1">
      <c r="A149" s="100" t="s">
        <v>130</v>
      </c>
      <c r="B149" s="100"/>
      <c r="C149" s="100"/>
      <c r="D149" s="100"/>
      <c r="E149" s="100"/>
      <c r="F149" s="100"/>
      <c r="G149" s="100"/>
      <c r="H149" s="100"/>
      <c r="I149" s="100"/>
      <c r="J149" s="38">
        <f>SUM(J147:J148)</f>
        <v>4340.3215781949493</v>
      </c>
    </row>
    <row r="150" spans="1:12" ht="27.5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B60:H60"/>
    <mergeCell ref="B61:I61"/>
    <mergeCell ref="B62:I62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A1:J1"/>
    <mergeCell ref="A2:J2"/>
    <mergeCell ref="A3:G3"/>
    <mergeCell ref="H3:J3"/>
    <mergeCell ref="A4:G4"/>
    <mergeCell ref="H4:J4"/>
    <mergeCell ref="B9:G9"/>
    <mergeCell ref="H9:J9"/>
    <mergeCell ref="B10:G10"/>
    <mergeCell ref="H10:J10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CE24-98D8-42AF-A8CD-949183804B0D}">
  <sheetPr>
    <tabColor rgb="FF0070C0"/>
  </sheetPr>
  <dimension ref="A1:Q172"/>
  <sheetViews>
    <sheetView showGridLines="0" view="pageBreakPreview" topLeftCell="A7" zoomScaleNormal="100" zoomScaleSheetLayoutView="100" zoomScalePageLayoutView="95" workbookViewId="0">
      <selection activeCell="I62" sqref="I62"/>
    </sheetView>
  </sheetViews>
  <sheetFormatPr defaultRowHeight="12.5"/>
  <cols>
    <col min="1" max="9" width="8.7265625" customWidth="1"/>
    <col min="10" max="10" width="15.453125" customWidth="1"/>
    <col min="11" max="11" width="17.453125" customWidth="1"/>
    <col min="12" max="12" width="17" customWidth="1"/>
    <col min="13" max="16" width="8.7265625" customWidth="1"/>
    <col min="17" max="17" width="10.81640625" customWidth="1"/>
    <col min="18" max="1025" width="8.7265625" customWidth="1"/>
  </cols>
  <sheetData>
    <row r="1" spans="1:12" ht="24.25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2" ht="46.5" customHeight="1">
      <c r="A2" s="136" t="s">
        <v>297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2" ht="14.65" customHeight="1">
      <c r="A3" s="109" t="s">
        <v>1</v>
      </c>
      <c r="B3" s="109"/>
      <c r="C3" s="109"/>
      <c r="D3" s="109"/>
      <c r="E3" s="109"/>
      <c r="F3" s="109"/>
      <c r="G3" s="109"/>
      <c r="H3" s="138" t="s">
        <v>145</v>
      </c>
      <c r="I3" s="139"/>
      <c r="J3" s="139"/>
    </row>
    <row r="4" spans="1:12" ht="14.65" customHeight="1">
      <c r="A4" s="109" t="s">
        <v>2</v>
      </c>
      <c r="B4" s="109"/>
      <c r="C4" s="109"/>
      <c r="D4" s="109"/>
      <c r="E4" s="109"/>
      <c r="F4" s="109"/>
      <c r="G4" s="109"/>
      <c r="H4" s="140" t="s">
        <v>144</v>
      </c>
      <c r="I4" s="139"/>
      <c r="J4" s="139"/>
    </row>
    <row r="5" spans="1:12" ht="14.65" customHeight="1">
      <c r="A5" s="109" t="s">
        <v>3</v>
      </c>
      <c r="B5" s="109"/>
      <c r="C5" s="109"/>
      <c r="D5" s="109"/>
      <c r="E5" s="109"/>
      <c r="F5" s="109"/>
      <c r="G5" s="109"/>
      <c r="H5" s="109"/>
      <c r="I5" s="109"/>
      <c r="J5" s="109"/>
    </row>
    <row r="6" spans="1:12" ht="16.149999999999999" customHeight="1">
      <c r="A6" s="142" t="s">
        <v>4</v>
      </c>
      <c r="B6" s="142"/>
      <c r="C6" s="142"/>
      <c r="D6" s="142"/>
      <c r="E6" s="142"/>
      <c r="F6" s="142"/>
      <c r="G6" s="142"/>
      <c r="H6" s="142"/>
      <c r="I6" s="142"/>
      <c r="J6" s="142"/>
    </row>
    <row r="7" spans="1:12" ht="14.65" customHeight="1">
      <c r="A7" s="1" t="s">
        <v>5</v>
      </c>
      <c r="B7" s="109" t="s">
        <v>6</v>
      </c>
      <c r="C7" s="109"/>
      <c r="D7" s="109"/>
      <c r="E7" s="109"/>
      <c r="F7" s="109"/>
      <c r="G7" s="109"/>
      <c r="H7" s="141">
        <v>44029</v>
      </c>
      <c r="I7" s="141"/>
      <c r="J7" s="141"/>
    </row>
    <row r="8" spans="1:12" ht="14.65" customHeight="1">
      <c r="A8" s="1" t="s">
        <v>7</v>
      </c>
      <c r="B8" s="109" t="s">
        <v>8</v>
      </c>
      <c r="C8" s="109"/>
      <c r="D8" s="109"/>
      <c r="E8" s="109"/>
      <c r="F8" s="109"/>
      <c r="G8" s="109"/>
      <c r="H8" s="141" t="s">
        <v>140</v>
      </c>
      <c r="I8" s="141"/>
      <c r="J8" s="141"/>
    </row>
    <row r="9" spans="1:12" ht="39" customHeight="1">
      <c r="A9" s="1" t="s">
        <v>9</v>
      </c>
      <c r="B9" s="109" t="s">
        <v>10</v>
      </c>
      <c r="C9" s="109"/>
      <c r="D9" s="109"/>
      <c r="E9" s="109"/>
      <c r="F9" s="109"/>
      <c r="G9" s="109"/>
      <c r="H9" s="141" t="s">
        <v>11</v>
      </c>
      <c r="I9" s="141"/>
      <c r="J9" s="141"/>
      <c r="L9" s="55"/>
    </row>
    <row r="10" spans="1:12" ht="14.65" customHeight="1">
      <c r="A10" s="1" t="s">
        <v>12</v>
      </c>
      <c r="B10" s="109" t="s">
        <v>13</v>
      </c>
      <c r="C10" s="109"/>
      <c r="D10" s="109"/>
      <c r="E10" s="109"/>
      <c r="F10" s="109"/>
      <c r="G10" s="109"/>
      <c r="H10" s="139">
        <v>12</v>
      </c>
      <c r="I10" s="139"/>
      <c r="J10" s="139"/>
    </row>
    <row r="11" spans="1:12" ht="13">
      <c r="A11" s="101"/>
      <c r="B11" s="101"/>
      <c r="C11" s="101"/>
      <c r="D11" s="101"/>
      <c r="E11" s="101"/>
      <c r="F11" s="101"/>
      <c r="G11" s="101"/>
      <c r="H11" s="101"/>
      <c r="I11" s="101"/>
      <c r="J11" s="101"/>
    </row>
    <row r="12" spans="1:12" ht="48.75" customHeight="1">
      <c r="A12" s="132" t="s">
        <v>14</v>
      </c>
      <c r="B12" s="132"/>
      <c r="C12" s="132"/>
      <c r="D12" s="132"/>
      <c r="E12" s="132"/>
      <c r="F12" s="132"/>
      <c r="G12" s="132"/>
      <c r="H12" s="132"/>
      <c r="I12" s="132"/>
      <c r="J12" s="132"/>
      <c r="L12" s="55"/>
    </row>
    <row r="13" spans="1:12" ht="13">
      <c r="A13" s="101"/>
      <c r="B13" s="101"/>
      <c r="C13" s="101"/>
      <c r="D13" s="101"/>
      <c r="E13" s="101"/>
      <c r="F13" s="101"/>
      <c r="G13" s="101"/>
      <c r="H13" s="101"/>
      <c r="I13" s="101"/>
      <c r="J13" s="101"/>
    </row>
    <row r="14" spans="1:12" ht="16.149999999999999" customHeight="1">
      <c r="A14" s="115" t="s">
        <v>15</v>
      </c>
      <c r="B14" s="115"/>
      <c r="C14" s="115"/>
      <c r="D14" s="115"/>
      <c r="E14" s="115"/>
      <c r="F14" s="115"/>
      <c r="G14" s="115"/>
      <c r="H14" s="115"/>
      <c r="I14" s="115"/>
      <c r="J14" s="115"/>
      <c r="L14" s="55"/>
    </row>
    <row r="15" spans="1:12" ht="16.149999999999999" customHeight="1">
      <c r="A15" s="1">
        <v>1</v>
      </c>
      <c r="B15" s="109" t="s">
        <v>16</v>
      </c>
      <c r="C15" s="109"/>
      <c r="D15" s="109"/>
      <c r="E15" s="109"/>
      <c r="F15" s="109"/>
      <c r="G15" s="109"/>
      <c r="H15" s="134" t="s">
        <v>17</v>
      </c>
      <c r="I15" s="134"/>
      <c r="J15" s="134"/>
    </row>
    <row r="16" spans="1:12" ht="16.149999999999999" customHeight="1">
      <c r="A16" s="1">
        <v>2</v>
      </c>
      <c r="B16" s="109" t="s">
        <v>18</v>
      </c>
      <c r="C16" s="109"/>
      <c r="D16" s="109"/>
      <c r="E16" s="109"/>
      <c r="F16" s="109"/>
      <c r="G16" s="109"/>
      <c r="H16" s="134">
        <v>9511</v>
      </c>
      <c r="I16" s="134"/>
      <c r="J16" s="134"/>
    </row>
    <row r="17" spans="1:17" ht="16.149999999999999" customHeight="1">
      <c r="A17" s="1">
        <v>3</v>
      </c>
      <c r="B17" s="109" t="s">
        <v>19</v>
      </c>
      <c r="C17" s="109"/>
      <c r="D17" s="109"/>
      <c r="E17" s="109"/>
      <c r="F17" s="109"/>
      <c r="G17" s="109"/>
      <c r="H17" s="143">
        <v>1314.09</v>
      </c>
      <c r="I17" s="143"/>
      <c r="J17" s="143"/>
    </row>
    <row r="18" spans="1:17" ht="16.149999999999999" customHeight="1">
      <c r="A18" s="1">
        <v>4</v>
      </c>
      <c r="B18" s="109" t="s">
        <v>20</v>
      </c>
      <c r="C18" s="109"/>
      <c r="D18" s="109"/>
      <c r="E18" s="109"/>
      <c r="F18" s="109"/>
      <c r="G18" s="109"/>
      <c r="H18" s="134" t="s">
        <v>166</v>
      </c>
      <c r="I18" s="134"/>
      <c r="J18" s="134"/>
    </row>
    <row r="19" spans="1:17" ht="16.149999999999999" customHeight="1">
      <c r="A19" s="1">
        <v>5</v>
      </c>
      <c r="B19" s="109" t="s">
        <v>21</v>
      </c>
      <c r="C19" s="109"/>
      <c r="D19" s="109"/>
      <c r="E19" s="109"/>
      <c r="F19" s="109"/>
      <c r="G19" s="109"/>
      <c r="H19" s="133" t="s">
        <v>141</v>
      </c>
      <c r="I19" s="133"/>
      <c r="J19" s="133"/>
    </row>
    <row r="20" spans="1:17" ht="16.149999999999999" customHeight="1">
      <c r="A20" s="1">
        <v>5</v>
      </c>
      <c r="B20" s="109" t="s">
        <v>133</v>
      </c>
      <c r="C20" s="109"/>
      <c r="D20" s="109"/>
      <c r="E20" s="109"/>
      <c r="F20" s="109"/>
      <c r="G20" s="109"/>
      <c r="H20" s="131">
        <v>44</v>
      </c>
      <c r="I20" s="131"/>
      <c r="J20" s="131"/>
    </row>
    <row r="21" spans="1:17" ht="13">
      <c r="A21" s="101"/>
      <c r="B21" s="101"/>
      <c r="C21" s="101"/>
      <c r="D21" s="101"/>
      <c r="E21" s="101"/>
      <c r="F21" s="101"/>
      <c r="G21" s="101"/>
      <c r="H21" s="101"/>
      <c r="I21" s="101"/>
      <c r="J21" s="101"/>
    </row>
    <row r="22" spans="1:17" ht="20.65" customHeight="1">
      <c r="A22" s="132" t="s">
        <v>22</v>
      </c>
      <c r="B22" s="132"/>
      <c r="C22" s="132"/>
      <c r="D22" s="132"/>
      <c r="E22" s="132"/>
      <c r="F22" s="132"/>
      <c r="G22" s="132"/>
      <c r="H22" s="132"/>
      <c r="I22" s="132"/>
      <c r="J22" s="132"/>
    </row>
    <row r="23" spans="1:17" ht="30.4" customHeight="1">
      <c r="A23" s="64">
        <v>1</v>
      </c>
      <c r="B23" s="115" t="s">
        <v>23</v>
      </c>
      <c r="C23" s="115"/>
      <c r="D23" s="115"/>
      <c r="E23" s="115"/>
      <c r="F23" s="115"/>
      <c r="G23" s="115"/>
      <c r="H23" s="115" t="s">
        <v>24</v>
      </c>
      <c r="I23" s="115"/>
      <c r="J23" s="64" t="s">
        <v>25</v>
      </c>
    </row>
    <row r="24" spans="1:17" ht="12.75" customHeight="1">
      <c r="A24" s="1" t="s">
        <v>5</v>
      </c>
      <c r="B24" s="109" t="s">
        <v>143</v>
      </c>
      <c r="C24" s="109"/>
      <c r="D24" s="109"/>
      <c r="E24" s="109"/>
      <c r="F24" s="109"/>
      <c r="G24" s="109"/>
      <c r="H24" s="109"/>
      <c r="I24" s="109"/>
      <c r="J24" s="2">
        <f>ROUND(H17/44*H20,2)</f>
        <v>1314.09</v>
      </c>
    </row>
    <row r="25" spans="1:17" ht="12.75" customHeight="1">
      <c r="A25" s="66" t="s">
        <v>7</v>
      </c>
      <c r="B25" s="109" t="s">
        <v>26</v>
      </c>
      <c r="C25" s="109"/>
      <c r="D25" s="109"/>
      <c r="E25" s="109"/>
      <c r="F25" s="109"/>
      <c r="G25" s="109"/>
      <c r="H25" s="109"/>
      <c r="I25" s="3"/>
      <c r="J25" s="2"/>
      <c r="K25" s="57"/>
    </row>
    <row r="26" spans="1:17" ht="12.75" customHeight="1">
      <c r="A26" s="66" t="s">
        <v>9</v>
      </c>
      <c r="B26" s="109" t="s">
        <v>27</v>
      </c>
      <c r="C26" s="109"/>
      <c r="D26" s="109"/>
      <c r="E26" s="109"/>
      <c r="F26" s="109"/>
      <c r="G26" s="109"/>
      <c r="H26" s="109"/>
      <c r="I26" s="109"/>
      <c r="J26" s="2"/>
    </row>
    <row r="27" spans="1:17" ht="12.75" customHeight="1">
      <c r="A27" s="66" t="s">
        <v>12</v>
      </c>
      <c r="B27" s="109" t="s">
        <v>28</v>
      </c>
      <c r="C27" s="109"/>
      <c r="D27" s="109"/>
      <c r="E27" s="109"/>
      <c r="F27" s="109"/>
      <c r="G27" s="109"/>
      <c r="H27" s="109"/>
      <c r="I27" s="109"/>
      <c r="J27" s="2"/>
    </row>
    <row r="28" spans="1:17" ht="12.75" customHeight="1">
      <c r="A28" s="66" t="s">
        <v>29</v>
      </c>
      <c r="B28" s="109" t="s">
        <v>30</v>
      </c>
      <c r="C28" s="109"/>
      <c r="D28" s="109"/>
      <c r="E28" s="109"/>
      <c r="F28" s="109"/>
      <c r="G28" s="109"/>
      <c r="H28" s="109"/>
      <c r="I28" s="109"/>
      <c r="J28" s="2"/>
      <c r="Q28" s="54"/>
    </row>
    <row r="29" spans="1:17" ht="12.75" customHeight="1">
      <c r="A29" s="1" t="s">
        <v>7</v>
      </c>
      <c r="B29" s="109" t="s">
        <v>31</v>
      </c>
      <c r="C29" s="109"/>
      <c r="D29" s="109"/>
      <c r="E29" s="109"/>
      <c r="F29" s="109"/>
      <c r="G29" s="109"/>
      <c r="H29" s="109"/>
      <c r="I29" s="4">
        <v>0.2</v>
      </c>
      <c r="J29" s="2">
        <f>I29*J24</f>
        <v>262.81799999999998</v>
      </c>
      <c r="Q29" s="54"/>
    </row>
    <row r="30" spans="1:17" ht="15.75" customHeight="1">
      <c r="A30" s="116" t="s">
        <v>32</v>
      </c>
      <c r="B30" s="116"/>
      <c r="C30" s="116"/>
      <c r="D30" s="116"/>
      <c r="E30" s="116"/>
      <c r="F30" s="116"/>
      <c r="G30" s="116"/>
      <c r="H30" s="116"/>
      <c r="I30" s="116"/>
      <c r="J30" s="5">
        <f>SUM(J24:J29)</f>
        <v>1576.9079999999999</v>
      </c>
    </row>
    <row r="31" spans="1:17" ht="13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Q31" s="54"/>
    </row>
    <row r="32" spans="1:17" ht="16.149999999999999" customHeight="1">
      <c r="A32" s="112" t="s">
        <v>33</v>
      </c>
      <c r="B32" s="112"/>
      <c r="C32" s="112"/>
      <c r="D32" s="112"/>
      <c r="E32" s="112"/>
      <c r="F32" s="112"/>
      <c r="G32" s="112"/>
      <c r="H32" s="112"/>
      <c r="I32" s="112"/>
      <c r="J32" s="112"/>
    </row>
    <row r="33" spans="1:13" ht="14">
      <c r="A33" s="129" t="s">
        <v>34</v>
      </c>
      <c r="B33" s="129"/>
      <c r="C33" s="129"/>
      <c r="D33" s="129"/>
      <c r="E33" s="129"/>
      <c r="F33" s="129"/>
      <c r="G33" s="129"/>
      <c r="H33" s="129"/>
      <c r="I33" s="129"/>
      <c r="J33" s="129"/>
    </row>
    <row r="34" spans="1:13" ht="14">
      <c r="A34" s="6" t="s">
        <v>35</v>
      </c>
      <c r="B34" s="130" t="s">
        <v>36</v>
      </c>
      <c r="C34" s="130"/>
      <c r="D34" s="130"/>
      <c r="E34" s="130"/>
      <c r="F34" s="130"/>
      <c r="G34" s="130"/>
      <c r="H34" s="130"/>
      <c r="I34" s="130"/>
      <c r="J34" s="7" t="s">
        <v>37</v>
      </c>
    </row>
    <row r="35" spans="1:13" ht="27.65" customHeight="1">
      <c r="A35" s="8" t="s">
        <v>5</v>
      </c>
      <c r="B35" s="109" t="s">
        <v>38</v>
      </c>
      <c r="C35" s="109"/>
      <c r="D35" s="109"/>
      <c r="E35" s="109"/>
      <c r="F35" s="109"/>
      <c r="G35" s="109"/>
      <c r="H35" s="109"/>
      <c r="I35" s="9">
        <v>8.3299999999999999E-2</v>
      </c>
      <c r="J35" s="10">
        <f>ROUND($J$30*I35,2)</f>
        <v>131.36000000000001</v>
      </c>
      <c r="M35" s="55"/>
    </row>
    <row r="36" spans="1:13" ht="36.25" customHeight="1">
      <c r="A36" s="8" t="s">
        <v>7</v>
      </c>
      <c r="B36" s="120" t="s">
        <v>39</v>
      </c>
      <c r="C36" s="120"/>
      <c r="D36" s="120"/>
      <c r="E36" s="120"/>
      <c r="F36" s="120"/>
      <c r="G36" s="120"/>
      <c r="H36" s="120"/>
      <c r="I36" s="11">
        <v>3.0249999999999999E-2</v>
      </c>
      <c r="J36" s="10">
        <f>ROUND($J$30*I36,2)</f>
        <v>47.7</v>
      </c>
    </row>
    <row r="37" spans="1:13" ht="13">
      <c r="A37" s="128" t="s">
        <v>40</v>
      </c>
      <c r="B37" s="128"/>
      <c r="C37" s="128"/>
      <c r="D37" s="128"/>
      <c r="E37" s="128"/>
      <c r="F37" s="128"/>
      <c r="G37" s="128"/>
      <c r="H37" s="128"/>
      <c r="I37" s="128"/>
      <c r="J37" s="65">
        <f>SUM(J35+J36)</f>
        <v>179.06</v>
      </c>
    </row>
    <row r="38" spans="1:13" ht="13">
      <c r="A38" s="101"/>
      <c r="B38" s="101"/>
      <c r="C38" s="101"/>
      <c r="D38" s="101"/>
      <c r="E38" s="101"/>
      <c r="F38" s="101"/>
      <c r="G38" s="101"/>
      <c r="H38" s="101"/>
      <c r="I38" s="101"/>
      <c r="J38" s="101"/>
    </row>
    <row r="39" spans="1:13" ht="30.4" customHeight="1">
      <c r="A39" s="112" t="s">
        <v>41</v>
      </c>
      <c r="B39" s="112"/>
      <c r="C39" s="112"/>
      <c r="D39" s="112"/>
      <c r="E39" s="112"/>
      <c r="F39" s="112"/>
      <c r="G39" s="112"/>
      <c r="H39" s="112"/>
      <c r="I39" s="112"/>
      <c r="J39" s="112"/>
    </row>
    <row r="40" spans="1:13" ht="30.4" customHeight="1">
      <c r="A40" s="63" t="s">
        <v>42</v>
      </c>
      <c r="B40" s="113" t="s">
        <v>43</v>
      </c>
      <c r="C40" s="113"/>
      <c r="D40" s="113"/>
      <c r="E40" s="113"/>
      <c r="F40" s="113"/>
      <c r="G40" s="113"/>
      <c r="H40" s="113"/>
      <c r="I40" s="64" t="s">
        <v>44</v>
      </c>
      <c r="J40" s="64" t="s">
        <v>45</v>
      </c>
    </row>
    <row r="41" spans="1:13" ht="13">
      <c r="A41" s="8" t="s">
        <v>5</v>
      </c>
      <c r="B41" s="104" t="s">
        <v>46</v>
      </c>
      <c r="C41" s="104"/>
      <c r="D41" s="104"/>
      <c r="E41" s="104"/>
      <c r="F41" s="104"/>
      <c r="G41" s="104"/>
      <c r="H41" s="104"/>
      <c r="I41" s="15">
        <v>0.2</v>
      </c>
      <c r="J41" s="16">
        <f>ROUND(($J$30+$J$37)*I41,2)</f>
        <v>351.19</v>
      </c>
    </row>
    <row r="42" spans="1:13" ht="13">
      <c r="A42" s="8" t="s">
        <v>7</v>
      </c>
      <c r="B42" s="104" t="s">
        <v>47</v>
      </c>
      <c r="C42" s="104"/>
      <c r="D42" s="104"/>
      <c r="E42" s="104"/>
      <c r="F42" s="104"/>
      <c r="G42" s="104"/>
      <c r="H42" s="104"/>
      <c r="I42" s="15">
        <v>2.5000000000000001E-2</v>
      </c>
      <c r="J42" s="16">
        <f t="shared" ref="J42:J48" si="0">ROUND(($J$30+$J$37)*I42,2)</f>
        <v>43.9</v>
      </c>
    </row>
    <row r="43" spans="1:13" ht="23.9" customHeight="1">
      <c r="A43" s="8" t="s">
        <v>9</v>
      </c>
      <c r="B43" s="109" t="s">
        <v>48</v>
      </c>
      <c r="C43" s="109"/>
      <c r="D43" s="109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17.559999999999999</v>
      </c>
    </row>
    <row r="44" spans="1:13" ht="13">
      <c r="A44" s="8" t="s">
        <v>12</v>
      </c>
      <c r="B44" s="104" t="s">
        <v>51</v>
      </c>
      <c r="C44" s="104"/>
      <c r="D44" s="104"/>
      <c r="E44" s="104"/>
      <c r="F44" s="104"/>
      <c r="G44" s="104"/>
      <c r="H44" s="104"/>
      <c r="I44" s="15">
        <v>1.4999999999999999E-2</v>
      </c>
      <c r="J44" s="16">
        <f t="shared" si="0"/>
        <v>26.34</v>
      </c>
    </row>
    <row r="45" spans="1:13" ht="13">
      <c r="A45" s="8" t="s">
        <v>29</v>
      </c>
      <c r="B45" s="104" t="s">
        <v>52</v>
      </c>
      <c r="C45" s="104"/>
      <c r="D45" s="104"/>
      <c r="E45" s="104"/>
      <c r="F45" s="104"/>
      <c r="G45" s="104"/>
      <c r="H45" s="104"/>
      <c r="I45" s="15">
        <v>0.01</v>
      </c>
      <c r="J45" s="16">
        <f t="shared" si="0"/>
        <v>17.559999999999999</v>
      </c>
    </row>
    <row r="46" spans="1:13" ht="13">
      <c r="A46" s="8" t="s">
        <v>53</v>
      </c>
      <c r="B46" s="104" t="s">
        <v>54</v>
      </c>
      <c r="C46" s="104"/>
      <c r="D46" s="104"/>
      <c r="E46" s="104"/>
      <c r="F46" s="104"/>
      <c r="G46" s="104"/>
      <c r="H46" s="104"/>
      <c r="I46" s="15">
        <v>6.0000000000000001E-3</v>
      </c>
      <c r="J46" s="16">
        <f t="shared" si="0"/>
        <v>10.54</v>
      </c>
    </row>
    <row r="47" spans="1:13" ht="13">
      <c r="A47" s="8" t="s">
        <v>55</v>
      </c>
      <c r="B47" s="104" t="s">
        <v>56</v>
      </c>
      <c r="C47" s="104"/>
      <c r="D47" s="104"/>
      <c r="E47" s="104"/>
      <c r="F47" s="104"/>
      <c r="G47" s="104"/>
      <c r="H47" s="104"/>
      <c r="I47" s="15">
        <v>2E-3</v>
      </c>
      <c r="J47" s="16">
        <f t="shared" si="0"/>
        <v>3.51</v>
      </c>
    </row>
    <row r="48" spans="1:13" ht="13">
      <c r="A48" s="8" t="s">
        <v>57</v>
      </c>
      <c r="B48" s="104" t="s">
        <v>58</v>
      </c>
      <c r="C48" s="104"/>
      <c r="D48" s="104"/>
      <c r="E48" s="104"/>
      <c r="F48" s="104"/>
      <c r="G48" s="104"/>
      <c r="H48" s="104"/>
      <c r="I48" s="15">
        <v>0.08</v>
      </c>
      <c r="J48" s="16">
        <f t="shared" si="0"/>
        <v>140.47999999999999</v>
      </c>
    </row>
    <row r="49" spans="1:12" ht="13">
      <c r="A49" s="105" t="s">
        <v>40</v>
      </c>
      <c r="B49" s="105"/>
      <c r="C49" s="105"/>
      <c r="D49" s="105"/>
      <c r="E49" s="105"/>
      <c r="F49" s="105"/>
      <c r="G49" s="105"/>
      <c r="H49" s="105"/>
      <c r="I49" s="21">
        <f>SUM(I41:I48)</f>
        <v>0.34800000000000003</v>
      </c>
      <c r="J49" s="14">
        <f>SUM(J41:J48)</f>
        <v>611.07999999999993</v>
      </c>
    </row>
    <row r="50" spans="1:12" ht="13">
      <c r="A50" s="101"/>
      <c r="B50" s="101"/>
      <c r="C50" s="101"/>
      <c r="D50" s="101"/>
      <c r="E50" s="101"/>
      <c r="F50" s="101"/>
      <c r="G50" s="101"/>
      <c r="H50" s="101"/>
      <c r="I50" s="101"/>
      <c r="J50" s="101"/>
    </row>
    <row r="51" spans="1:12" ht="16.149999999999999" customHeight="1">
      <c r="A51" s="112" t="s">
        <v>59</v>
      </c>
      <c r="B51" s="112"/>
      <c r="C51" s="112"/>
      <c r="D51" s="112"/>
      <c r="E51" s="112"/>
      <c r="F51" s="112"/>
      <c r="G51" s="112"/>
      <c r="H51" s="112"/>
      <c r="I51" s="112"/>
      <c r="J51" s="112"/>
      <c r="L51" s="53"/>
    </row>
    <row r="52" spans="1:12" ht="16.149999999999999" customHeight="1">
      <c r="A52" s="69" t="s">
        <v>60</v>
      </c>
      <c r="B52" s="113" t="s">
        <v>61</v>
      </c>
      <c r="C52" s="113"/>
      <c r="D52" s="113"/>
      <c r="E52" s="113"/>
      <c r="F52" s="113"/>
      <c r="G52" s="113"/>
      <c r="H52" s="113"/>
      <c r="I52" s="113"/>
      <c r="J52" s="68" t="s">
        <v>37</v>
      </c>
    </row>
    <row r="53" spans="1:12" ht="13">
      <c r="A53" s="8" t="s">
        <v>5</v>
      </c>
      <c r="B53" s="104" t="s">
        <v>62</v>
      </c>
      <c r="C53" s="104"/>
      <c r="D53" s="104"/>
      <c r="E53" s="104"/>
      <c r="F53" s="104"/>
      <c r="G53" s="104"/>
      <c r="H53" s="104"/>
      <c r="I53" s="104"/>
      <c r="J53" s="16">
        <f>IF(ROUND((I56*I54*I55)-(J24*0.06),2)&lt;0,0,ROUND((I56*I54*I55)-(J24*0.06),2))</f>
        <v>170.75</v>
      </c>
    </row>
    <row r="54" spans="1:12" ht="13">
      <c r="A54" s="8"/>
      <c r="B54" s="121" t="s">
        <v>63</v>
      </c>
      <c r="C54" s="121"/>
      <c r="D54" s="121"/>
      <c r="E54" s="121"/>
      <c r="F54" s="121"/>
      <c r="G54" s="121"/>
      <c r="H54" s="121"/>
      <c r="I54" s="22">
        <v>4.8</v>
      </c>
      <c r="J54" s="51" t="s">
        <v>64</v>
      </c>
    </row>
    <row r="55" spans="1:12" ht="13">
      <c r="A55" s="8"/>
      <c r="B55" s="121" t="s">
        <v>65</v>
      </c>
      <c r="C55" s="121"/>
      <c r="D55" s="121"/>
      <c r="E55" s="121"/>
      <c r="F55" s="121"/>
      <c r="G55" s="121"/>
      <c r="H55" s="121"/>
      <c r="I55" s="23">
        <v>2</v>
      </c>
      <c r="J55" s="51"/>
    </row>
    <row r="56" spans="1:12" ht="13">
      <c r="A56" s="8"/>
      <c r="B56" s="121" t="s">
        <v>66</v>
      </c>
      <c r="C56" s="121"/>
      <c r="D56" s="121"/>
      <c r="E56" s="121"/>
      <c r="F56" s="121"/>
      <c r="G56" s="121"/>
      <c r="H56" s="121"/>
      <c r="I56" s="24">
        <v>26</v>
      </c>
      <c r="J56" s="51"/>
    </row>
    <row r="57" spans="1:12" ht="13">
      <c r="A57" s="8" t="s">
        <v>7</v>
      </c>
      <c r="B57" s="104" t="s">
        <v>67</v>
      </c>
      <c r="C57" s="104"/>
      <c r="D57" s="104"/>
      <c r="E57" s="104"/>
      <c r="F57" s="104"/>
      <c r="G57" s="104"/>
      <c r="H57" s="104"/>
      <c r="I57" s="104"/>
      <c r="J57" s="16">
        <f>ROUND((I58*I59)-(I59*I58*I60),2)</f>
        <v>359.61</v>
      </c>
    </row>
    <row r="58" spans="1:12" ht="13">
      <c r="A58" s="8"/>
      <c r="B58" s="121" t="s">
        <v>68</v>
      </c>
      <c r="C58" s="121"/>
      <c r="D58" s="121"/>
      <c r="E58" s="121"/>
      <c r="F58" s="121"/>
      <c r="G58" s="121"/>
      <c r="H58" s="121"/>
      <c r="I58" s="22">
        <v>20.18</v>
      </c>
      <c r="J58" s="51" t="s">
        <v>64</v>
      </c>
    </row>
    <row r="59" spans="1:12" ht="13">
      <c r="A59" s="25"/>
      <c r="B59" s="121" t="s">
        <v>69</v>
      </c>
      <c r="C59" s="121"/>
      <c r="D59" s="121"/>
      <c r="E59" s="121"/>
      <c r="F59" s="121"/>
      <c r="G59" s="121"/>
      <c r="H59" s="121"/>
      <c r="I59" s="26">
        <v>22</v>
      </c>
      <c r="J59" s="51"/>
    </row>
    <row r="60" spans="1:12" ht="13">
      <c r="A60" s="25"/>
      <c r="B60" s="121" t="s">
        <v>132</v>
      </c>
      <c r="C60" s="121"/>
      <c r="D60" s="121"/>
      <c r="E60" s="121"/>
      <c r="F60" s="121"/>
      <c r="G60" s="121"/>
      <c r="H60" s="121"/>
      <c r="I60" s="52">
        <v>0.19</v>
      </c>
      <c r="J60" s="51"/>
    </row>
    <row r="61" spans="1:12" ht="27.65" customHeight="1">
      <c r="A61" s="8"/>
      <c r="B61" s="121" t="s">
        <v>208</v>
      </c>
      <c r="C61" s="121"/>
      <c r="D61" s="121"/>
      <c r="E61" s="121"/>
      <c r="F61" s="121"/>
      <c r="G61" s="121"/>
      <c r="H61" s="121"/>
      <c r="I61" s="22">
        <f>I58/2</f>
        <v>10.09</v>
      </c>
      <c r="J61" s="16">
        <f>ROUND((I61*I62)-(I61*I62*I60),2)</f>
        <v>32.69</v>
      </c>
    </row>
    <row r="62" spans="1:12" ht="27.65" customHeight="1">
      <c r="A62" s="25"/>
      <c r="B62" s="121" t="s">
        <v>69</v>
      </c>
      <c r="C62" s="121"/>
      <c r="D62" s="121"/>
      <c r="E62" s="121"/>
      <c r="F62" s="121"/>
      <c r="G62" s="121"/>
      <c r="H62" s="121"/>
      <c r="I62" s="26">
        <v>4</v>
      </c>
      <c r="J62" s="51"/>
      <c r="L62" s="50"/>
    </row>
    <row r="63" spans="1:12" ht="27.65" customHeight="1">
      <c r="A63" s="8" t="s">
        <v>12</v>
      </c>
      <c r="B63" s="122" t="s">
        <v>186</v>
      </c>
      <c r="C63" s="123"/>
      <c r="D63" s="123"/>
      <c r="E63" s="123"/>
      <c r="F63" s="123"/>
      <c r="G63" s="123"/>
      <c r="H63" s="123"/>
      <c r="I63" s="124"/>
      <c r="J63" s="27">
        <v>17.32</v>
      </c>
      <c r="L63" s="50"/>
    </row>
    <row r="64" spans="1:12" ht="13">
      <c r="A64" s="125" t="s">
        <v>32</v>
      </c>
      <c r="B64" s="126"/>
      <c r="C64" s="126"/>
      <c r="D64" s="126"/>
      <c r="E64" s="126"/>
      <c r="F64" s="126"/>
      <c r="G64" s="126"/>
      <c r="H64" s="126"/>
      <c r="I64" s="127"/>
      <c r="J64" s="14">
        <f>SUM(J53:J63)</f>
        <v>580.37</v>
      </c>
      <c r="L64" s="50"/>
    </row>
    <row r="65" spans="1:12" ht="13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L65" s="50"/>
    </row>
    <row r="66" spans="1:12" ht="16.149999999999999" customHeight="1">
      <c r="A66" s="112" t="s">
        <v>71</v>
      </c>
      <c r="B66" s="112"/>
      <c r="C66" s="112"/>
      <c r="D66" s="112"/>
      <c r="E66" s="112"/>
      <c r="F66" s="112"/>
      <c r="G66" s="112"/>
      <c r="H66" s="112"/>
      <c r="I66" s="112"/>
      <c r="J66" s="112"/>
      <c r="L66" s="50"/>
    </row>
    <row r="67" spans="1:12" ht="16.149999999999999" customHeight="1">
      <c r="A67" s="64">
        <v>2</v>
      </c>
      <c r="B67" s="115" t="s">
        <v>72</v>
      </c>
      <c r="C67" s="115"/>
      <c r="D67" s="115"/>
      <c r="E67" s="115"/>
      <c r="F67" s="115"/>
      <c r="G67" s="115"/>
      <c r="H67" s="115"/>
      <c r="I67" s="115"/>
      <c r="J67" s="64" t="s">
        <v>37</v>
      </c>
      <c r="L67" s="50"/>
    </row>
    <row r="68" spans="1:12" ht="14.65" customHeight="1">
      <c r="A68" s="1" t="s">
        <v>35</v>
      </c>
      <c r="B68" s="1"/>
      <c r="C68" s="109" t="s">
        <v>73</v>
      </c>
      <c r="D68" s="109"/>
      <c r="E68" s="109"/>
      <c r="F68" s="109"/>
      <c r="G68" s="109"/>
      <c r="H68" s="109"/>
      <c r="I68" s="109"/>
      <c r="J68" s="28">
        <f>J37</f>
        <v>179.06</v>
      </c>
      <c r="L68" s="50"/>
    </row>
    <row r="69" spans="1:12" ht="14.65" customHeight="1">
      <c r="A69" s="1" t="s">
        <v>42</v>
      </c>
      <c r="B69" s="1"/>
      <c r="C69" s="109" t="s">
        <v>43</v>
      </c>
      <c r="D69" s="109"/>
      <c r="E69" s="109"/>
      <c r="F69" s="109"/>
      <c r="G69" s="109"/>
      <c r="H69" s="109"/>
      <c r="I69" s="109"/>
      <c r="J69" s="28">
        <f>J49</f>
        <v>611.07999999999993</v>
      </c>
      <c r="L69" s="50"/>
    </row>
    <row r="70" spans="1:12" ht="14.65" customHeight="1">
      <c r="A70" s="1" t="s">
        <v>60</v>
      </c>
      <c r="B70" s="1"/>
      <c r="C70" s="109" t="s">
        <v>61</v>
      </c>
      <c r="D70" s="109"/>
      <c r="E70" s="109"/>
      <c r="F70" s="109"/>
      <c r="G70" s="109"/>
      <c r="H70" s="109"/>
      <c r="I70" s="109"/>
      <c r="J70" s="28">
        <f>J64</f>
        <v>580.37</v>
      </c>
      <c r="L70" s="50"/>
    </row>
    <row r="71" spans="1:12" ht="14.65" customHeight="1">
      <c r="A71" s="116" t="s">
        <v>40</v>
      </c>
      <c r="B71" s="116"/>
      <c r="C71" s="116"/>
      <c r="D71" s="116"/>
      <c r="E71" s="116"/>
      <c r="F71" s="116"/>
      <c r="G71" s="116"/>
      <c r="H71" s="116"/>
      <c r="I71" s="116"/>
      <c r="J71" s="29">
        <f>SUM(J68+J69+J70)</f>
        <v>1370.5099999999998</v>
      </c>
    </row>
    <row r="72" spans="1:12" ht="13">
      <c r="A72" s="101"/>
      <c r="B72" s="101"/>
      <c r="C72" s="101"/>
      <c r="D72" s="101"/>
      <c r="E72" s="101"/>
      <c r="F72" s="101"/>
      <c r="G72" s="101"/>
      <c r="H72" s="101"/>
      <c r="I72" s="101"/>
      <c r="J72" s="101"/>
    </row>
    <row r="73" spans="1:12" ht="16.149999999999999" customHeight="1">
      <c r="A73" s="112" t="s">
        <v>74</v>
      </c>
      <c r="B73" s="112"/>
      <c r="C73" s="112"/>
      <c r="D73" s="112"/>
      <c r="E73" s="112"/>
      <c r="F73" s="112"/>
      <c r="G73" s="112"/>
      <c r="H73" s="112"/>
      <c r="I73" s="112"/>
      <c r="J73" s="112"/>
    </row>
    <row r="74" spans="1:12" ht="16.149999999999999" customHeight="1">
      <c r="A74" s="63">
        <v>3</v>
      </c>
      <c r="B74" s="115" t="s">
        <v>75</v>
      </c>
      <c r="C74" s="115"/>
      <c r="D74" s="115"/>
      <c r="E74" s="115"/>
      <c r="F74" s="115"/>
      <c r="G74" s="115"/>
      <c r="H74" s="115"/>
      <c r="I74" s="115"/>
      <c r="J74" s="63" t="s">
        <v>76</v>
      </c>
    </row>
    <row r="75" spans="1:12" ht="46.5" customHeight="1">
      <c r="A75" s="8" t="s">
        <v>5</v>
      </c>
      <c r="B75" s="109" t="s">
        <v>135</v>
      </c>
      <c r="C75" s="109"/>
      <c r="D75" s="109"/>
      <c r="E75" s="109"/>
      <c r="F75" s="109"/>
      <c r="G75" s="109"/>
      <c r="H75" s="109"/>
      <c r="I75" s="109"/>
      <c r="J75" s="16">
        <f>ROUND(((J30)+(J35)+(J30/12)+(J36))/12*0.01,2)</f>
        <v>1.57</v>
      </c>
      <c r="L75" s="50"/>
    </row>
    <row r="76" spans="1:12" ht="14.65" customHeight="1">
      <c r="A76" s="8" t="s">
        <v>7</v>
      </c>
      <c r="B76" s="109" t="s">
        <v>77</v>
      </c>
      <c r="C76" s="109"/>
      <c r="D76" s="109"/>
      <c r="E76" s="109"/>
      <c r="F76" s="109"/>
      <c r="G76" s="109"/>
      <c r="H76" s="109"/>
      <c r="I76" s="109"/>
      <c r="J76" s="16">
        <f>ROUND($J$75*I48,2)</f>
        <v>0.13</v>
      </c>
    </row>
    <row r="77" spans="1:12" ht="36.25" customHeight="1">
      <c r="A77" s="8" t="s">
        <v>9</v>
      </c>
      <c r="B77" s="109" t="s">
        <v>136</v>
      </c>
      <c r="C77" s="109"/>
      <c r="D77" s="109"/>
      <c r="E77" s="109"/>
      <c r="F77" s="109"/>
      <c r="G77" s="109"/>
      <c r="H77" s="109"/>
      <c r="I77" s="30">
        <v>2.3999999999999998E-3</v>
      </c>
      <c r="J77" s="16">
        <f>ROUND($J$30*I77,2)</f>
        <v>3.78</v>
      </c>
    </row>
    <row r="78" spans="1:12" ht="34.5" customHeight="1">
      <c r="A78" s="8" t="s">
        <v>12</v>
      </c>
      <c r="B78" s="109" t="s">
        <v>138</v>
      </c>
      <c r="C78" s="109"/>
      <c r="D78" s="109"/>
      <c r="E78" s="109"/>
      <c r="F78" s="109"/>
      <c r="G78" s="109"/>
      <c r="H78" s="109"/>
      <c r="I78" s="109"/>
      <c r="J78" s="16">
        <f>J30/30*7/12*0.05</f>
        <v>1.5331049999999999</v>
      </c>
    </row>
    <row r="79" spans="1:12" ht="14.65" customHeight="1">
      <c r="A79" s="8" t="s">
        <v>29</v>
      </c>
      <c r="B79" s="109" t="s">
        <v>78</v>
      </c>
      <c r="C79" s="109"/>
      <c r="D79" s="109"/>
      <c r="E79" s="109"/>
      <c r="F79" s="109"/>
      <c r="G79" s="109"/>
      <c r="H79" s="109"/>
      <c r="I79" s="109"/>
      <c r="J79" s="16">
        <f>ROUND($I$49*J78,2)</f>
        <v>0.53</v>
      </c>
    </row>
    <row r="80" spans="1:12" ht="36.25" customHeight="1">
      <c r="A80" s="8" t="s">
        <v>53</v>
      </c>
      <c r="B80" s="109" t="s">
        <v>137</v>
      </c>
      <c r="C80" s="109"/>
      <c r="D80" s="109"/>
      <c r="E80" s="109"/>
      <c r="F80" s="109"/>
      <c r="G80" s="109"/>
      <c r="H80" s="109"/>
      <c r="I80" s="30">
        <v>3.7600000000000001E-2</v>
      </c>
      <c r="J80" s="16">
        <f>ROUND($J$30*I80,2)</f>
        <v>59.29</v>
      </c>
    </row>
    <row r="81" spans="1:10" ht="13">
      <c r="A81" s="105" t="s">
        <v>40</v>
      </c>
      <c r="B81" s="105"/>
      <c r="C81" s="105"/>
      <c r="D81" s="105"/>
      <c r="E81" s="105"/>
      <c r="F81" s="105"/>
      <c r="G81" s="105"/>
      <c r="H81" s="105"/>
      <c r="I81" s="105"/>
      <c r="J81" s="14">
        <f>SUM(J75:J80)</f>
        <v>66.833105000000003</v>
      </c>
    </row>
    <row r="82" spans="1:10" ht="13">
      <c r="A82" s="101"/>
      <c r="B82" s="101"/>
      <c r="C82" s="101"/>
      <c r="D82" s="101"/>
      <c r="E82" s="101"/>
      <c r="F82" s="101"/>
      <c r="G82" s="101"/>
      <c r="H82" s="101"/>
      <c r="I82" s="101"/>
      <c r="J82" s="101"/>
    </row>
    <row r="83" spans="1:10" ht="16.149999999999999" customHeight="1">
      <c r="A83" s="112" t="s">
        <v>79</v>
      </c>
      <c r="B83" s="112"/>
      <c r="C83" s="112"/>
      <c r="D83" s="112"/>
      <c r="E83" s="112"/>
      <c r="F83" s="112"/>
      <c r="G83" s="112"/>
      <c r="H83" s="112"/>
      <c r="I83" s="112"/>
      <c r="J83" s="112"/>
    </row>
    <row r="84" spans="1:10" ht="15" customHeight="1">
      <c r="A84" s="119" t="s">
        <v>80</v>
      </c>
      <c r="B84" s="119"/>
      <c r="C84" s="119"/>
      <c r="D84" s="119"/>
      <c r="E84" s="119"/>
      <c r="F84" s="119"/>
      <c r="G84" s="119"/>
      <c r="H84" s="119"/>
      <c r="I84" s="119"/>
      <c r="J84" s="31">
        <f>J87+J30+J35+J36</f>
        <v>1899.068</v>
      </c>
    </row>
    <row r="85" spans="1:10" ht="14.65" customHeight="1">
      <c r="A85" s="120"/>
      <c r="B85" s="120"/>
      <c r="C85" s="120"/>
      <c r="D85" s="120"/>
      <c r="E85" s="120"/>
      <c r="F85" s="120"/>
      <c r="G85" s="120"/>
      <c r="H85" s="120"/>
      <c r="I85" s="120"/>
      <c r="J85" s="120"/>
    </row>
    <row r="86" spans="1:10" ht="14">
      <c r="A86" s="32" t="s">
        <v>81</v>
      </c>
      <c r="B86" s="113" t="s">
        <v>82</v>
      </c>
      <c r="C86" s="113"/>
      <c r="D86" s="113"/>
      <c r="E86" s="113"/>
      <c r="F86" s="113"/>
      <c r="G86" s="113"/>
      <c r="H86" s="113"/>
      <c r="I86" s="113"/>
      <c r="J86" s="32" t="s">
        <v>37</v>
      </c>
    </row>
    <row r="87" spans="1:10" ht="12.75" customHeight="1">
      <c r="A87" s="12" t="s">
        <v>5</v>
      </c>
      <c r="B87" s="109" t="s">
        <v>83</v>
      </c>
      <c r="C87" s="109"/>
      <c r="D87" s="109"/>
      <c r="E87" s="109"/>
      <c r="F87" s="109"/>
      <c r="G87" s="109"/>
      <c r="H87" s="109"/>
      <c r="I87" s="33">
        <f>12.1%-I36</f>
        <v>9.0749999999999997E-2</v>
      </c>
      <c r="J87" s="16">
        <f>ROUND(($J$30*I87),2)</f>
        <v>143.1</v>
      </c>
    </row>
    <row r="88" spans="1:10" ht="13">
      <c r="A88" s="12" t="s">
        <v>7</v>
      </c>
      <c r="B88" s="104" t="s">
        <v>131</v>
      </c>
      <c r="C88" s="104"/>
      <c r="D88" s="104"/>
      <c r="E88" s="104"/>
      <c r="F88" s="104"/>
      <c r="G88" s="104"/>
      <c r="H88" s="104"/>
      <c r="I88" s="104"/>
      <c r="J88" s="34">
        <f>J84/30*0.1/12</f>
        <v>0.52751888888888898</v>
      </c>
    </row>
    <row r="89" spans="1:10" ht="13">
      <c r="A89" s="12" t="s">
        <v>9</v>
      </c>
      <c r="B89" s="104" t="s">
        <v>84</v>
      </c>
      <c r="C89" s="104"/>
      <c r="D89" s="104"/>
      <c r="E89" s="104"/>
      <c r="F89" s="104"/>
      <c r="G89" s="104"/>
      <c r="H89" s="104"/>
      <c r="I89" s="104"/>
      <c r="J89" s="34">
        <f>J84/30*5/12*1.5%</f>
        <v>0.39563916666666665</v>
      </c>
    </row>
    <row r="90" spans="1:10" ht="13">
      <c r="A90" s="12" t="s">
        <v>12</v>
      </c>
      <c r="B90" s="104" t="s">
        <v>85</v>
      </c>
      <c r="C90" s="104"/>
      <c r="D90" s="104"/>
      <c r="E90" s="104"/>
      <c r="F90" s="104"/>
      <c r="G90" s="104"/>
      <c r="H90" s="104"/>
      <c r="I90" s="104"/>
      <c r="J90" s="13">
        <f>J84/30*15/12*0.78%</f>
        <v>0.61719709999999994</v>
      </c>
    </row>
    <row r="91" spans="1:10" ht="13">
      <c r="A91" s="12" t="s">
        <v>29</v>
      </c>
      <c r="B91" s="104" t="s">
        <v>86</v>
      </c>
      <c r="C91" s="104"/>
      <c r="D91" s="104"/>
      <c r="E91" s="104"/>
      <c r="F91" s="104"/>
      <c r="G91" s="104"/>
      <c r="H91" s="104"/>
      <c r="I91" s="104"/>
      <c r="J91" s="16">
        <f>(J30+J36)/12*4/12*1%</f>
        <v>0.45127999999999996</v>
      </c>
    </row>
    <row r="92" spans="1:10" ht="13">
      <c r="A92" s="35" t="s">
        <v>53</v>
      </c>
      <c r="B92" s="118" t="s">
        <v>87</v>
      </c>
      <c r="C92" s="118"/>
      <c r="D92" s="118"/>
      <c r="E92" s="118"/>
      <c r="F92" s="118"/>
      <c r="G92" s="118"/>
      <c r="H92" s="118"/>
      <c r="I92" s="118"/>
      <c r="J92" s="13">
        <f>J84/30*0.15/12</f>
        <v>0.79127833333333342</v>
      </c>
    </row>
    <row r="93" spans="1:10" ht="13">
      <c r="A93" s="105" t="s">
        <v>40</v>
      </c>
      <c r="B93" s="105"/>
      <c r="C93" s="105"/>
      <c r="D93" s="105"/>
      <c r="E93" s="105"/>
      <c r="F93" s="105"/>
      <c r="G93" s="105"/>
      <c r="H93" s="105"/>
      <c r="I93" s="105"/>
      <c r="J93" s="36">
        <f>SUM(J87:J92)</f>
        <v>145.88291348888887</v>
      </c>
    </row>
    <row r="94" spans="1:10" ht="14.65" customHeight="1">
      <c r="A94" s="12"/>
      <c r="B94" s="104"/>
      <c r="C94" s="104"/>
      <c r="D94" s="104"/>
      <c r="E94" s="104"/>
      <c r="F94" s="104"/>
      <c r="G94" s="104"/>
      <c r="H94" s="104"/>
      <c r="I94" s="104"/>
      <c r="J94" s="13"/>
    </row>
    <row r="95" spans="1:10" ht="13">
      <c r="A95" s="105" t="s">
        <v>40</v>
      </c>
      <c r="B95" s="105"/>
      <c r="C95" s="105"/>
      <c r="D95" s="105"/>
      <c r="E95" s="105"/>
      <c r="F95" s="105"/>
      <c r="G95" s="105"/>
      <c r="H95" s="105"/>
      <c r="I95" s="105"/>
      <c r="J95" s="14">
        <f>SUM(J93:J94)</f>
        <v>145.88291348888887</v>
      </c>
    </row>
    <row r="96" spans="1:10" ht="16.149999999999999" customHeight="1">
      <c r="A96" s="112" t="s">
        <v>88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14">
      <c r="A97" s="63" t="s">
        <v>89</v>
      </c>
      <c r="B97" s="113" t="s">
        <v>90</v>
      </c>
      <c r="C97" s="113"/>
      <c r="D97" s="113"/>
      <c r="E97" s="113"/>
      <c r="F97" s="113"/>
      <c r="G97" s="113"/>
      <c r="H97" s="113"/>
      <c r="I97" s="113"/>
      <c r="J97" s="37" t="s">
        <v>37</v>
      </c>
    </row>
    <row r="98" spans="1:10" ht="13">
      <c r="A98" s="8" t="s">
        <v>5</v>
      </c>
      <c r="B98" s="104" t="s">
        <v>91</v>
      </c>
      <c r="C98" s="104"/>
      <c r="D98" s="104"/>
      <c r="E98" s="104"/>
      <c r="F98" s="104"/>
      <c r="G98" s="104"/>
      <c r="H98" s="104"/>
      <c r="I98" s="104"/>
      <c r="J98" s="16">
        <v>0</v>
      </c>
    </row>
    <row r="99" spans="1:10" ht="13">
      <c r="A99" s="117" t="s">
        <v>40</v>
      </c>
      <c r="B99" s="117"/>
      <c r="C99" s="117"/>
      <c r="D99" s="117"/>
      <c r="E99" s="117"/>
      <c r="F99" s="117"/>
      <c r="G99" s="117"/>
      <c r="H99" s="117"/>
      <c r="I99" s="117"/>
      <c r="J99" s="16">
        <v>0</v>
      </c>
    </row>
    <row r="100" spans="1:10" ht="13">
      <c r="A100" s="12"/>
      <c r="B100" s="104"/>
      <c r="C100" s="104"/>
      <c r="D100" s="104"/>
      <c r="E100" s="104"/>
      <c r="F100" s="104"/>
      <c r="G100" s="104"/>
      <c r="H100" s="104"/>
      <c r="I100" s="104"/>
      <c r="J100" s="13"/>
    </row>
    <row r="101" spans="1:10" ht="13">
      <c r="A101" s="105" t="s">
        <v>40</v>
      </c>
      <c r="B101" s="105"/>
      <c r="C101" s="105"/>
      <c r="D101" s="105"/>
      <c r="E101" s="105"/>
      <c r="F101" s="105"/>
      <c r="G101" s="105"/>
      <c r="H101" s="105"/>
      <c r="I101" s="105"/>
      <c r="J101" s="14">
        <f>SUM(J99:J100)</f>
        <v>0</v>
      </c>
    </row>
    <row r="102" spans="1:10" ht="13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</row>
    <row r="103" spans="1:10" ht="16.149999999999999" customHeight="1">
      <c r="A103" s="112" t="s">
        <v>92</v>
      </c>
      <c r="B103" s="112"/>
      <c r="C103" s="112"/>
      <c r="D103" s="112"/>
      <c r="E103" s="112"/>
      <c r="F103" s="112"/>
      <c r="G103" s="112"/>
      <c r="H103" s="112"/>
      <c r="I103" s="112"/>
      <c r="J103" s="112"/>
    </row>
    <row r="104" spans="1:10" ht="16.149999999999999" customHeight="1">
      <c r="A104" s="64">
        <v>4</v>
      </c>
      <c r="B104" s="115" t="s">
        <v>93</v>
      </c>
      <c r="C104" s="115"/>
      <c r="D104" s="115"/>
      <c r="E104" s="115"/>
      <c r="F104" s="115"/>
      <c r="G104" s="115"/>
      <c r="H104" s="115"/>
      <c r="I104" s="115"/>
      <c r="J104" s="37" t="s">
        <v>37</v>
      </c>
    </row>
    <row r="105" spans="1:10" ht="14.65" customHeight="1">
      <c r="A105" s="1" t="s">
        <v>81</v>
      </c>
      <c r="B105" s="109" t="s">
        <v>94</v>
      </c>
      <c r="C105" s="109"/>
      <c r="D105" s="109"/>
      <c r="E105" s="109"/>
      <c r="F105" s="109"/>
      <c r="G105" s="109"/>
      <c r="H105" s="109"/>
      <c r="I105" s="109"/>
      <c r="J105" s="16">
        <f>J95</f>
        <v>145.88291348888887</v>
      </c>
    </row>
    <row r="106" spans="1:10" ht="14.65" customHeight="1">
      <c r="A106" s="1" t="s">
        <v>95</v>
      </c>
      <c r="B106" s="109" t="s">
        <v>96</v>
      </c>
      <c r="C106" s="109"/>
      <c r="D106" s="109"/>
      <c r="E106" s="109"/>
      <c r="F106" s="109"/>
      <c r="G106" s="109"/>
      <c r="H106" s="109"/>
      <c r="I106" s="109"/>
      <c r="J106" s="16">
        <f>J101</f>
        <v>0</v>
      </c>
    </row>
    <row r="107" spans="1:10" ht="14.65" customHeight="1">
      <c r="A107" s="116" t="s">
        <v>40</v>
      </c>
      <c r="B107" s="116"/>
      <c r="C107" s="116"/>
      <c r="D107" s="116"/>
      <c r="E107" s="116"/>
      <c r="F107" s="116"/>
      <c r="G107" s="116"/>
      <c r="H107" s="116"/>
      <c r="I107" s="116"/>
      <c r="J107" s="14">
        <f>SUM(J105+J106)</f>
        <v>145.88291348888887</v>
      </c>
    </row>
    <row r="108" spans="1:10" ht="13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</row>
    <row r="109" spans="1:10" ht="16.149999999999999" customHeight="1">
      <c r="A109" s="112" t="s">
        <v>97</v>
      </c>
      <c r="B109" s="112"/>
      <c r="C109" s="112"/>
      <c r="D109" s="112"/>
      <c r="E109" s="112"/>
      <c r="F109" s="112"/>
      <c r="G109" s="112"/>
      <c r="H109" s="112"/>
      <c r="I109" s="112"/>
      <c r="J109" s="112"/>
    </row>
    <row r="110" spans="1:10" ht="16.149999999999999" customHeight="1">
      <c r="A110" s="63">
        <v>5</v>
      </c>
      <c r="B110" s="113" t="s">
        <v>98</v>
      </c>
      <c r="C110" s="113"/>
      <c r="D110" s="113"/>
      <c r="E110" s="113"/>
      <c r="F110" s="113"/>
      <c r="G110" s="113"/>
      <c r="H110" s="113"/>
      <c r="I110" s="113"/>
      <c r="J110" s="63" t="s">
        <v>37</v>
      </c>
    </row>
    <row r="111" spans="1:10" ht="13">
      <c r="A111" s="8" t="s">
        <v>5</v>
      </c>
      <c r="B111" s="104" t="s">
        <v>185</v>
      </c>
      <c r="C111" s="104"/>
      <c r="D111" s="104"/>
      <c r="E111" s="104"/>
      <c r="F111" s="104"/>
      <c r="G111" s="104"/>
      <c r="H111" s="104"/>
      <c r="I111" s="104"/>
      <c r="J111" s="16">
        <f>Descritivo!E48</f>
        <v>91.369065656565652</v>
      </c>
    </row>
    <row r="112" spans="1:10" ht="13">
      <c r="A112" s="8" t="s">
        <v>7</v>
      </c>
      <c r="B112" s="104" t="s">
        <v>99</v>
      </c>
      <c r="C112" s="104"/>
      <c r="D112" s="104"/>
      <c r="E112" s="104"/>
      <c r="F112" s="104"/>
      <c r="G112" s="104"/>
      <c r="H112" s="104"/>
      <c r="I112" s="104"/>
      <c r="J112" s="27">
        <f>Descritivo!D93</f>
        <v>116.16919191919192</v>
      </c>
    </row>
    <row r="113" spans="1:10" ht="13">
      <c r="A113" s="8" t="s">
        <v>9</v>
      </c>
      <c r="B113" s="104" t="s">
        <v>139</v>
      </c>
      <c r="C113" s="104"/>
      <c r="D113" s="104"/>
      <c r="E113" s="104"/>
      <c r="F113" s="104"/>
      <c r="G113" s="104"/>
      <c r="H113" s="104"/>
      <c r="I113" s="104"/>
      <c r="J113" s="27">
        <f>Descritivo!C101</f>
        <v>36.363636363636367</v>
      </c>
    </row>
    <row r="114" spans="1:10" ht="13">
      <c r="A114" s="8" t="s">
        <v>12</v>
      </c>
      <c r="B114" s="104" t="s">
        <v>100</v>
      </c>
      <c r="C114" s="104"/>
      <c r="D114" s="104"/>
      <c r="E114" s="104"/>
      <c r="F114" s="104"/>
      <c r="G114" s="104"/>
      <c r="H114" s="104"/>
      <c r="I114" s="104"/>
      <c r="J114" s="27"/>
    </row>
    <row r="115" spans="1:10" ht="13">
      <c r="A115" s="105" t="s">
        <v>32</v>
      </c>
      <c r="B115" s="105"/>
      <c r="C115" s="105"/>
      <c r="D115" s="105"/>
      <c r="E115" s="105"/>
      <c r="F115" s="105"/>
      <c r="G115" s="105"/>
      <c r="H115" s="105"/>
      <c r="I115" s="105"/>
      <c r="J115" s="38">
        <f>SUM(J111:J114)</f>
        <v>243.90189393939394</v>
      </c>
    </row>
    <row r="116" spans="1:10" ht="13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</row>
    <row r="117" spans="1:10" ht="16.149999999999999" customHeight="1">
      <c r="A117" s="112" t="s">
        <v>101</v>
      </c>
      <c r="B117" s="112"/>
      <c r="C117" s="112"/>
      <c r="D117" s="112"/>
      <c r="E117" s="112"/>
      <c r="F117" s="112"/>
      <c r="G117" s="112"/>
      <c r="H117" s="112"/>
      <c r="I117" s="112"/>
      <c r="J117" s="112"/>
    </row>
    <row r="118" spans="1:10" ht="28">
      <c r="A118" s="63">
        <v>6</v>
      </c>
      <c r="B118" s="113" t="s">
        <v>102</v>
      </c>
      <c r="C118" s="113"/>
      <c r="D118" s="113"/>
      <c r="E118" s="113"/>
      <c r="F118" s="113"/>
      <c r="G118" s="113"/>
      <c r="H118" s="113"/>
      <c r="I118" s="64" t="s">
        <v>44</v>
      </c>
      <c r="J118" s="39" t="s">
        <v>103</v>
      </c>
    </row>
    <row r="119" spans="1:10" ht="12.75" customHeight="1">
      <c r="A119" s="111" t="s">
        <v>104</v>
      </c>
      <c r="B119" s="111"/>
      <c r="C119" s="111"/>
      <c r="D119" s="111"/>
      <c r="E119" s="111"/>
      <c r="F119" s="111"/>
      <c r="G119" s="111"/>
      <c r="H119" s="111"/>
      <c r="I119" s="40" t="s">
        <v>64</v>
      </c>
      <c r="J119" s="41">
        <f>SUM(J30+J71+J81+J107+J115)</f>
        <v>3404.0359124282827</v>
      </c>
    </row>
    <row r="120" spans="1:10" ht="15.5">
      <c r="A120" s="42" t="s">
        <v>5</v>
      </c>
      <c r="B120" s="110" t="s">
        <v>105</v>
      </c>
      <c r="C120" s="110"/>
      <c r="D120" s="110"/>
      <c r="E120" s="110"/>
      <c r="F120" s="110"/>
      <c r="G120" s="110"/>
      <c r="H120" s="110"/>
      <c r="I120" s="15">
        <v>0.1091</v>
      </c>
      <c r="J120" s="16">
        <f>ROUND(I120*J119,2)</f>
        <v>371.38</v>
      </c>
    </row>
    <row r="121" spans="1:10" ht="12.75" customHeight="1">
      <c r="A121" s="111" t="s">
        <v>106</v>
      </c>
      <c r="B121" s="111"/>
      <c r="C121" s="111"/>
      <c r="D121" s="111"/>
      <c r="E121" s="111"/>
      <c r="F121" s="111"/>
      <c r="G121" s="111"/>
      <c r="H121" s="111"/>
      <c r="I121" s="43" t="s">
        <v>64</v>
      </c>
      <c r="J121" s="41">
        <f>SUM(J30+J71+J81+J107+J115+J120)</f>
        <v>3775.4159124282828</v>
      </c>
    </row>
    <row r="122" spans="1:10" ht="15.5">
      <c r="A122" s="42" t="s">
        <v>7</v>
      </c>
      <c r="B122" s="110" t="s">
        <v>107</v>
      </c>
      <c r="C122" s="110"/>
      <c r="D122" s="110"/>
      <c r="E122" s="110"/>
      <c r="F122" s="110"/>
      <c r="G122" s="110"/>
      <c r="H122" s="110"/>
      <c r="I122" s="20">
        <v>0.15109700000000001</v>
      </c>
      <c r="J122" s="16">
        <f>ROUND(I122*J121,2)</f>
        <v>570.45000000000005</v>
      </c>
    </row>
    <row r="123" spans="1:10" ht="12.75" customHeight="1">
      <c r="A123" s="111" t="s">
        <v>108</v>
      </c>
      <c r="B123" s="111"/>
      <c r="C123" s="111"/>
      <c r="D123" s="111"/>
      <c r="E123" s="111"/>
      <c r="F123" s="111"/>
      <c r="G123" s="111"/>
      <c r="H123" s="111"/>
      <c r="I123" s="43" t="s">
        <v>64</v>
      </c>
      <c r="J123" s="41">
        <f>SUM(J30+J71+J81+J107+J115+J120+J122)</f>
        <v>4345.8659124282831</v>
      </c>
    </row>
    <row r="124" spans="1:10" ht="15.5">
      <c r="A124" s="42" t="s">
        <v>9</v>
      </c>
      <c r="B124" s="110" t="s">
        <v>109</v>
      </c>
      <c r="C124" s="110"/>
      <c r="D124" s="110"/>
      <c r="E124" s="110"/>
      <c r="F124" s="110"/>
      <c r="G124" s="110"/>
      <c r="H124" s="110"/>
      <c r="I124" s="9" t="s">
        <v>64</v>
      </c>
      <c r="J124" s="51" t="s">
        <v>64</v>
      </c>
    </row>
    <row r="125" spans="1:10" ht="13">
      <c r="A125" s="8"/>
      <c r="B125" s="104" t="s">
        <v>110</v>
      </c>
      <c r="C125" s="104"/>
      <c r="D125" s="104"/>
      <c r="E125" s="104"/>
      <c r="F125" s="104"/>
      <c r="G125" s="104"/>
      <c r="H125" s="104"/>
      <c r="I125" s="9" t="s">
        <v>64</v>
      </c>
      <c r="J125" s="51" t="s">
        <v>64</v>
      </c>
    </row>
    <row r="126" spans="1:10" ht="13">
      <c r="A126" s="8"/>
      <c r="B126" s="104" t="s">
        <v>111</v>
      </c>
      <c r="C126" s="104"/>
      <c r="D126" s="104"/>
      <c r="E126" s="104"/>
      <c r="F126" s="104"/>
      <c r="G126" s="104"/>
      <c r="H126" s="104"/>
      <c r="I126" s="44">
        <v>0.03</v>
      </c>
      <c r="J126" s="16">
        <f>ROUND(($J$123/(1-$I$135))*I126,2)</f>
        <v>142.72</v>
      </c>
    </row>
    <row r="127" spans="1:10" ht="13">
      <c r="A127" s="8"/>
      <c r="B127" s="104" t="s">
        <v>112</v>
      </c>
      <c r="C127" s="104"/>
      <c r="D127" s="104"/>
      <c r="E127" s="104"/>
      <c r="F127" s="104"/>
      <c r="G127" s="104"/>
      <c r="H127" s="104"/>
      <c r="I127" s="44">
        <v>6.4999999999999997E-3</v>
      </c>
      <c r="J127" s="16">
        <f>ROUND(($J$123/(1-$I$135))*I127,2)</f>
        <v>30.92</v>
      </c>
    </row>
    <row r="128" spans="1:10" ht="27.65" customHeight="1">
      <c r="A128" s="8"/>
      <c r="B128" s="109" t="s">
        <v>113</v>
      </c>
      <c r="C128" s="109"/>
      <c r="D128" s="109"/>
      <c r="E128" s="109"/>
      <c r="F128" s="109"/>
      <c r="G128" s="109"/>
      <c r="H128" s="109"/>
      <c r="I128" s="45" t="s">
        <v>64</v>
      </c>
      <c r="J128" s="51" t="s">
        <v>64</v>
      </c>
    </row>
    <row r="129" spans="1:10" ht="27.65" customHeight="1">
      <c r="A129" s="8"/>
      <c r="B129" s="109" t="s">
        <v>114</v>
      </c>
      <c r="C129" s="109"/>
      <c r="D129" s="109"/>
      <c r="E129" s="109"/>
      <c r="F129" s="109"/>
      <c r="G129" s="109"/>
      <c r="H129" s="109"/>
      <c r="I129" s="45" t="s">
        <v>64</v>
      </c>
      <c r="J129" s="51" t="s">
        <v>64</v>
      </c>
    </row>
    <row r="130" spans="1:10" ht="13">
      <c r="A130" s="8"/>
      <c r="B130" s="104" t="s">
        <v>115</v>
      </c>
      <c r="C130" s="104"/>
      <c r="D130" s="104"/>
      <c r="E130" s="104"/>
      <c r="F130" s="104"/>
      <c r="G130" s="104"/>
      <c r="H130" s="104"/>
      <c r="I130" s="45" t="s">
        <v>64</v>
      </c>
      <c r="J130" s="51" t="s">
        <v>64</v>
      </c>
    </row>
    <row r="131" spans="1:10" ht="13">
      <c r="A131" s="8"/>
      <c r="B131" s="104" t="s">
        <v>116</v>
      </c>
      <c r="C131" s="104"/>
      <c r="D131" s="104"/>
      <c r="E131" s="104"/>
      <c r="F131" s="104"/>
      <c r="G131" s="104"/>
      <c r="H131" s="104"/>
      <c r="I131" s="45" t="s">
        <v>64</v>
      </c>
      <c r="J131" s="51" t="s">
        <v>64</v>
      </c>
    </row>
    <row r="132" spans="1:10" ht="13">
      <c r="A132" s="8"/>
      <c r="B132" s="104" t="s">
        <v>134</v>
      </c>
      <c r="C132" s="104"/>
      <c r="D132" s="104"/>
      <c r="E132" s="104"/>
      <c r="F132" s="104"/>
      <c r="G132" s="104"/>
      <c r="H132" s="104"/>
      <c r="I132" s="44">
        <v>0.05</v>
      </c>
      <c r="J132" s="16">
        <f>ROUND(($J$123/(1-$I$135))*I132,2)</f>
        <v>237.87</v>
      </c>
    </row>
    <row r="133" spans="1:10" ht="13">
      <c r="A133" s="105" t="s">
        <v>40</v>
      </c>
      <c r="B133" s="105"/>
      <c r="C133" s="105"/>
      <c r="D133" s="105"/>
      <c r="E133" s="105"/>
      <c r="F133" s="105"/>
      <c r="G133" s="105"/>
      <c r="H133" s="105"/>
      <c r="I133" s="105"/>
      <c r="J133" s="14">
        <f>SUM(J120+J122+J126+J127+J132)</f>
        <v>1353.3400000000001</v>
      </c>
    </row>
    <row r="134" spans="1:10" ht="13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</row>
    <row r="135" spans="1:10" ht="14.65" customHeight="1">
      <c r="A135" s="106" t="s">
        <v>117</v>
      </c>
      <c r="B135" s="106"/>
      <c r="C135" s="106"/>
      <c r="D135" s="106"/>
      <c r="E135" s="106"/>
      <c r="F135" s="106"/>
      <c r="G135" s="106"/>
      <c r="H135" s="106"/>
      <c r="I135" s="46">
        <f>SUM(I126:I132)</f>
        <v>8.6499999999999994E-2</v>
      </c>
      <c r="J135" s="41">
        <f>SUM(J126:J132)</f>
        <v>411.51</v>
      </c>
    </row>
    <row r="136" spans="1:10">
      <c r="A136" s="107" t="s">
        <v>118</v>
      </c>
      <c r="B136" s="107"/>
      <c r="C136" s="107"/>
      <c r="D136" s="108" t="s">
        <v>119</v>
      </c>
      <c r="E136" s="108"/>
      <c r="F136" s="108"/>
      <c r="G136" s="108"/>
      <c r="H136" s="108"/>
      <c r="I136" s="108"/>
      <c r="J136" s="108"/>
    </row>
    <row r="137" spans="1:10">
      <c r="A137" s="107"/>
      <c r="B137" s="107"/>
      <c r="C137" s="107"/>
      <c r="D137" s="108" t="s">
        <v>120</v>
      </c>
      <c r="E137" s="108"/>
      <c r="F137" s="108"/>
      <c r="G137" s="108"/>
      <c r="H137" s="108"/>
      <c r="I137" s="108"/>
      <c r="J137" s="108"/>
    </row>
    <row r="138" spans="1:10">
      <c r="A138" s="107"/>
      <c r="B138" s="107"/>
      <c r="C138" s="107"/>
      <c r="D138" s="108" t="s">
        <v>121</v>
      </c>
      <c r="E138" s="108"/>
      <c r="F138" s="108"/>
      <c r="G138" s="108"/>
      <c r="H138" s="108"/>
      <c r="I138" s="108"/>
      <c r="J138" s="108"/>
    </row>
    <row r="139" spans="1:10" ht="13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</row>
    <row r="140" spans="1:10" ht="46" customHeight="1">
      <c r="A140" s="102" t="s">
        <v>122</v>
      </c>
      <c r="B140" s="102"/>
      <c r="C140" s="102"/>
      <c r="D140" s="102"/>
      <c r="E140" s="102"/>
      <c r="F140" s="102"/>
      <c r="G140" s="102"/>
      <c r="H140" s="102"/>
      <c r="I140" s="102"/>
      <c r="J140" s="102"/>
    </row>
    <row r="141" spans="1:10" ht="14.65" customHeight="1">
      <c r="A141" s="103" t="s">
        <v>123</v>
      </c>
      <c r="B141" s="103"/>
      <c r="C141" s="103"/>
      <c r="D141" s="103"/>
      <c r="E141" s="103"/>
      <c r="F141" s="103"/>
      <c r="G141" s="103"/>
      <c r="H141" s="103"/>
      <c r="I141" s="103"/>
      <c r="J141" s="47" t="s">
        <v>37</v>
      </c>
    </row>
    <row r="142" spans="1:10" ht="14.65" customHeight="1">
      <c r="A142" s="48" t="s">
        <v>5</v>
      </c>
      <c r="B142" s="99" t="s">
        <v>124</v>
      </c>
      <c r="C142" s="99"/>
      <c r="D142" s="99"/>
      <c r="E142" s="99"/>
      <c r="F142" s="99"/>
      <c r="G142" s="99"/>
      <c r="H142" s="99"/>
      <c r="I142" s="99"/>
      <c r="J142" s="27">
        <f>J30</f>
        <v>1576.9079999999999</v>
      </c>
    </row>
    <row r="143" spans="1:10" ht="14.65" customHeight="1">
      <c r="A143" s="48" t="s">
        <v>7</v>
      </c>
      <c r="B143" s="99" t="s">
        <v>33</v>
      </c>
      <c r="C143" s="99"/>
      <c r="D143" s="99"/>
      <c r="E143" s="99"/>
      <c r="F143" s="99"/>
      <c r="G143" s="99"/>
      <c r="H143" s="99"/>
      <c r="I143" s="99"/>
      <c r="J143" s="27">
        <f>J71</f>
        <v>1370.5099999999998</v>
      </c>
    </row>
    <row r="144" spans="1:10" ht="14.65" customHeight="1">
      <c r="A144" s="48" t="s">
        <v>9</v>
      </c>
      <c r="B144" s="99" t="s">
        <v>125</v>
      </c>
      <c r="C144" s="99"/>
      <c r="D144" s="99"/>
      <c r="E144" s="99"/>
      <c r="F144" s="99"/>
      <c r="G144" s="99"/>
      <c r="H144" s="99"/>
      <c r="I144" s="99"/>
      <c r="J144" s="27">
        <f>J81</f>
        <v>66.833105000000003</v>
      </c>
    </row>
    <row r="145" spans="1:12" ht="14.65" customHeight="1">
      <c r="A145" s="48" t="s">
        <v>12</v>
      </c>
      <c r="B145" s="99" t="s">
        <v>126</v>
      </c>
      <c r="C145" s="99"/>
      <c r="D145" s="99"/>
      <c r="E145" s="99"/>
      <c r="F145" s="99"/>
      <c r="G145" s="99"/>
      <c r="H145" s="99"/>
      <c r="I145" s="99"/>
      <c r="J145" s="27">
        <f>J107</f>
        <v>145.88291348888887</v>
      </c>
    </row>
    <row r="146" spans="1:12" ht="14.65" customHeight="1">
      <c r="A146" s="48" t="s">
        <v>29</v>
      </c>
      <c r="B146" s="99" t="s">
        <v>127</v>
      </c>
      <c r="C146" s="99"/>
      <c r="D146" s="99"/>
      <c r="E146" s="99"/>
      <c r="F146" s="99"/>
      <c r="G146" s="99"/>
      <c r="H146" s="99"/>
      <c r="I146" s="99"/>
      <c r="J146" s="27">
        <f>J115</f>
        <v>243.90189393939394</v>
      </c>
    </row>
    <row r="147" spans="1:12" ht="14.65" customHeight="1">
      <c r="A147" s="100" t="s">
        <v>128</v>
      </c>
      <c r="B147" s="100"/>
      <c r="C147" s="100"/>
      <c r="D147" s="100"/>
      <c r="E147" s="100"/>
      <c r="F147" s="100"/>
      <c r="G147" s="100"/>
      <c r="H147" s="100"/>
      <c r="I147" s="100"/>
      <c r="J147" s="38">
        <f>SUM(J142:J146)</f>
        <v>3404.0359124282827</v>
      </c>
    </row>
    <row r="148" spans="1:12" ht="14.65" customHeight="1">
      <c r="A148" s="48" t="s">
        <v>53</v>
      </c>
      <c r="B148" s="99" t="s">
        <v>129</v>
      </c>
      <c r="C148" s="99"/>
      <c r="D148" s="99"/>
      <c r="E148" s="99"/>
      <c r="F148" s="99"/>
      <c r="G148" s="99"/>
      <c r="H148" s="99"/>
      <c r="I148" s="99"/>
      <c r="J148" s="27">
        <f>J133</f>
        <v>1353.3400000000001</v>
      </c>
    </row>
    <row r="149" spans="1:12" ht="14.65" customHeight="1">
      <c r="A149" s="100" t="s">
        <v>130</v>
      </c>
      <c r="B149" s="100"/>
      <c r="C149" s="100"/>
      <c r="D149" s="100"/>
      <c r="E149" s="100"/>
      <c r="F149" s="100"/>
      <c r="G149" s="100"/>
      <c r="H149" s="100"/>
      <c r="I149" s="100"/>
      <c r="J149" s="38">
        <f>SUM(J147:J148)</f>
        <v>4757.3759124282824</v>
      </c>
    </row>
    <row r="150" spans="1:12" ht="27.5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A1:J1"/>
    <mergeCell ref="A2:J2"/>
    <mergeCell ref="A3:G3"/>
    <mergeCell ref="H3:J3"/>
    <mergeCell ref="A4:G4"/>
    <mergeCell ref="H4:J4"/>
    <mergeCell ref="B61:H61"/>
    <mergeCell ref="B62:H62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60:H60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E9A92-673C-4644-AC8F-801B11A64CF9}">
  <sheetPr>
    <tabColor rgb="FF0070C0"/>
  </sheetPr>
  <dimension ref="A1:Q172"/>
  <sheetViews>
    <sheetView showGridLines="0" view="pageBreakPreview" topLeftCell="A40" zoomScaleNormal="100" zoomScaleSheetLayoutView="100" zoomScalePageLayoutView="95" workbookViewId="0">
      <selection activeCell="J64" sqref="J64"/>
    </sheetView>
  </sheetViews>
  <sheetFormatPr defaultRowHeight="12.5"/>
  <cols>
    <col min="1" max="9" width="8.7265625" customWidth="1"/>
    <col min="10" max="10" width="15.453125" customWidth="1"/>
    <col min="11" max="11" width="17.453125" customWidth="1"/>
    <col min="12" max="12" width="17" customWidth="1"/>
    <col min="13" max="16" width="8.7265625" customWidth="1"/>
    <col min="17" max="17" width="10.81640625" customWidth="1"/>
    <col min="18" max="1025" width="8.7265625" customWidth="1"/>
  </cols>
  <sheetData>
    <row r="1" spans="1:12" ht="24.25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2" ht="46.5" customHeight="1">
      <c r="A2" s="136" t="s">
        <v>297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2" ht="14.65" customHeight="1">
      <c r="A3" s="109" t="s">
        <v>1</v>
      </c>
      <c r="B3" s="109"/>
      <c r="C3" s="109"/>
      <c r="D3" s="109"/>
      <c r="E3" s="109"/>
      <c r="F3" s="109"/>
      <c r="G3" s="109"/>
      <c r="H3" s="138" t="s">
        <v>145</v>
      </c>
      <c r="I3" s="139"/>
      <c r="J3" s="139"/>
    </row>
    <row r="4" spans="1:12" ht="14.65" customHeight="1">
      <c r="A4" s="109" t="s">
        <v>2</v>
      </c>
      <c r="B4" s="109"/>
      <c r="C4" s="109"/>
      <c r="D4" s="109"/>
      <c r="E4" s="109"/>
      <c r="F4" s="109"/>
      <c r="G4" s="109"/>
      <c r="H4" s="140" t="s">
        <v>144</v>
      </c>
      <c r="I4" s="139"/>
      <c r="J4" s="139"/>
    </row>
    <row r="5" spans="1:12" ht="14.65" customHeight="1">
      <c r="A5" s="109" t="s">
        <v>3</v>
      </c>
      <c r="B5" s="109"/>
      <c r="C5" s="109"/>
      <c r="D5" s="109"/>
      <c r="E5" s="109"/>
      <c r="F5" s="109"/>
      <c r="G5" s="109"/>
      <c r="H5" s="109"/>
      <c r="I5" s="109"/>
      <c r="J5" s="109"/>
    </row>
    <row r="6" spans="1:12" ht="16.149999999999999" customHeight="1">
      <c r="A6" s="142" t="s">
        <v>4</v>
      </c>
      <c r="B6" s="142"/>
      <c r="C6" s="142"/>
      <c r="D6" s="142"/>
      <c r="E6" s="142"/>
      <c r="F6" s="142"/>
      <c r="G6" s="142"/>
      <c r="H6" s="142"/>
      <c r="I6" s="142"/>
      <c r="J6" s="142"/>
    </row>
    <row r="7" spans="1:12" ht="14.65" customHeight="1">
      <c r="A7" s="1" t="s">
        <v>5</v>
      </c>
      <c r="B7" s="109" t="s">
        <v>6</v>
      </c>
      <c r="C7" s="109"/>
      <c r="D7" s="109"/>
      <c r="E7" s="109"/>
      <c r="F7" s="109"/>
      <c r="G7" s="109"/>
      <c r="H7" s="141">
        <v>44029</v>
      </c>
      <c r="I7" s="141"/>
      <c r="J7" s="141"/>
    </row>
    <row r="8" spans="1:12" ht="14.65" customHeight="1">
      <c r="A8" s="1" t="s">
        <v>7</v>
      </c>
      <c r="B8" s="109" t="s">
        <v>8</v>
      </c>
      <c r="C8" s="109"/>
      <c r="D8" s="109"/>
      <c r="E8" s="109"/>
      <c r="F8" s="109"/>
      <c r="G8" s="109"/>
      <c r="H8" s="141" t="s">
        <v>140</v>
      </c>
      <c r="I8" s="141"/>
      <c r="J8" s="141"/>
    </row>
    <row r="9" spans="1:12" ht="39" customHeight="1">
      <c r="A9" s="1" t="s">
        <v>9</v>
      </c>
      <c r="B9" s="109" t="s">
        <v>10</v>
      </c>
      <c r="C9" s="109"/>
      <c r="D9" s="109"/>
      <c r="E9" s="109"/>
      <c r="F9" s="109"/>
      <c r="G9" s="109"/>
      <c r="H9" s="141" t="s">
        <v>11</v>
      </c>
      <c r="I9" s="141"/>
      <c r="J9" s="141"/>
      <c r="L9" s="55"/>
    </row>
    <row r="10" spans="1:12" ht="14.65" customHeight="1">
      <c r="A10" s="1" t="s">
        <v>12</v>
      </c>
      <c r="B10" s="109" t="s">
        <v>13</v>
      </c>
      <c r="C10" s="109"/>
      <c r="D10" s="109"/>
      <c r="E10" s="109"/>
      <c r="F10" s="109"/>
      <c r="G10" s="109"/>
      <c r="H10" s="139">
        <v>12</v>
      </c>
      <c r="I10" s="139"/>
      <c r="J10" s="139"/>
    </row>
    <row r="11" spans="1:12" ht="13">
      <c r="A11" s="101"/>
      <c r="B11" s="101"/>
      <c r="C11" s="101"/>
      <c r="D11" s="101"/>
      <c r="E11" s="101"/>
      <c r="F11" s="101"/>
      <c r="G11" s="101"/>
      <c r="H11" s="101"/>
      <c r="I11" s="101"/>
      <c r="J11" s="101"/>
    </row>
    <row r="12" spans="1:12" ht="48.75" customHeight="1">
      <c r="A12" s="132" t="s">
        <v>14</v>
      </c>
      <c r="B12" s="132"/>
      <c r="C12" s="132"/>
      <c r="D12" s="132"/>
      <c r="E12" s="132"/>
      <c r="F12" s="132"/>
      <c r="G12" s="132"/>
      <c r="H12" s="132"/>
      <c r="I12" s="132"/>
      <c r="J12" s="132"/>
      <c r="L12" s="55"/>
    </row>
    <row r="13" spans="1:12" ht="13">
      <c r="A13" s="101"/>
      <c r="B13" s="101"/>
      <c r="C13" s="101"/>
      <c r="D13" s="101"/>
      <c r="E13" s="101"/>
      <c r="F13" s="101"/>
      <c r="G13" s="101"/>
      <c r="H13" s="101"/>
      <c r="I13" s="101"/>
      <c r="J13" s="101"/>
    </row>
    <row r="14" spans="1:12" ht="16.149999999999999" customHeight="1">
      <c r="A14" s="115" t="s">
        <v>15</v>
      </c>
      <c r="B14" s="115"/>
      <c r="C14" s="115"/>
      <c r="D14" s="115"/>
      <c r="E14" s="115"/>
      <c r="F14" s="115"/>
      <c r="G14" s="115"/>
      <c r="H14" s="115"/>
      <c r="I14" s="115"/>
      <c r="J14" s="115"/>
      <c r="L14" s="55"/>
    </row>
    <row r="15" spans="1:12" ht="16.149999999999999" customHeight="1">
      <c r="A15" s="1">
        <v>1</v>
      </c>
      <c r="B15" s="109" t="s">
        <v>16</v>
      </c>
      <c r="C15" s="109"/>
      <c r="D15" s="109"/>
      <c r="E15" s="109"/>
      <c r="F15" s="109"/>
      <c r="G15" s="109"/>
      <c r="H15" s="134" t="s">
        <v>17</v>
      </c>
      <c r="I15" s="134"/>
      <c r="J15" s="134"/>
    </row>
    <row r="16" spans="1:12" ht="16.149999999999999" customHeight="1">
      <c r="A16" s="1">
        <v>2</v>
      </c>
      <c r="B16" s="109" t="s">
        <v>18</v>
      </c>
      <c r="C16" s="109"/>
      <c r="D16" s="109"/>
      <c r="E16" s="109"/>
      <c r="F16" s="109"/>
      <c r="G16" s="109"/>
      <c r="H16" s="134">
        <v>9511</v>
      </c>
      <c r="I16" s="134"/>
      <c r="J16" s="134"/>
    </row>
    <row r="17" spans="1:17" ht="16.149999999999999" customHeight="1">
      <c r="A17" s="1">
        <v>3</v>
      </c>
      <c r="B17" s="109" t="s">
        <v>19</v>
      </c>
      <c r="C17" s="109"/>
      <c r="D17" s="109"/>
      <c r="E17" s="109"/>
      <c r="F17" s="109"/>
      <c r="G17" s="109"/>
      <c r="H17" s="143">
        <v>1314.09</v>
      </c>
      <c r="I17" s="143"/>
      <c r="J17" s="143"/>
    </row>
    <row r="18" spans="1:17" ht="16.149999999999999" customHeight="1">
      <c r="A18" s="1">
        <v>4</v>
      </c>
      <c r="B18" s="109" t="s">
        <v>20</v>
      </c>
      <c r="C18" s="109"/>
      <c r="D18" s="109"/>
      <c r="E18" s="109"/>
      <c r="F18" s="109"/>
      <c r="G18" s="109"/>
      <c r="H18" s="134" t="s">
        <v>166</v>
      </c>
      <c r="I18" s="134"/>
      <c r="J18" s="134"/>
    </row>
    <row r="19" spans="1:17" ht="16.149999999999999" customHeight="1">
      <c r="A19" s="1">
        <v>5</v>
      </c>
      <c r="B19" s="109" t="s">
        <v>21</v>
      </c>
      <c r="C19" s="109"/>
      <c r="D19" s="109"/>
      <c r="E19" s="109"/>
      <c r="F19" s="109"/>
      <c r="G19" s="109"/>
      <c r="H19" s="133" t="s">
        <v>141</v>
      </c>
      <c r="I19" s="133"/>
      <c r="J19" s="133"/>
    </row>
    <row r="20" spans="1:17" ht="16.149999999999999" customHeight="1">
      <c r="A20" s="1">
        <v>5</v>
      </c>
      <c r="B20" s="109" t="s">
        <v>133</v>
      </c>
      <c r="C20" s="109"/>
      <c r="D20" s="109"/>
      <c r="E20" s="109"/>
      <c r="F20" s="109"/>
      <c r="G20" s="109"/>
      <c r="H20" s="131">
        <v>40</v>
      </c>
      <c r="I20" s="131"/>
      <c r="J20" s="131"/>
    </row>
    <row r="21" spans="1:17" ht="13">
      <c r="A21" s="101"/>
      <c r="B21" s="101"/>
      <c r="C21" s="101"/>
      <c r="D21" s="101"/>
      <c r="E21" s="101"/>
      <c r="F21" s="101"/>
      <c r="G21" s="101"/>
      <c r="H21" s="101"/>
      <c r="I21" s="101"/>
      <c r="J21" s="101"/>
    </row>
    <row r="22" spans="1:17" ht="20.65" customHeight="1">
      <c r="A22" s="132" t="s">
        <v>22</v>
      </c>
      <c r="B22" s="132"/>
      <c r="C22" s="132"/>
      <c r="D22" s="132"/>
      <c r="E22" s="132"/>
      <c r="F22" s="132"/>
      <c r="G22" s="132"/>
      <c r="H22" s="132"/>
      <c r="I22" s="132"/>
      <c r="J22" s="132"/>
    </row>
    <row r="23" spans="1:17" ht="30.4" customHeight="1">
      <c r="A23" s="68">
        <v>1</v>
      </c>
      <c r="B23" s="115" t="s">
        <v>23</v>
      </c>
      <c r="C23" s="115"/>
      <c r="D23" s="115"/>
      <c r="E23" s="115"/>
      <c r="F23" s="115"/>
      <c r="G23" s="115"/>
      <c r="H23" s="115" t="s">
        <v>24</v>
      </c>
      <c r="I23" s="115"/>
      <c r="J23" s="68" t="s">
        <v>25</v>
      </c>
    </row>
    <row r="24" spans="1:17" ht="12.75" customHeight="1">
      <c r="A24" s="1" t="s">
        <v>5</v>
      </c>
      <c r="B24" s="109" t="s">
        <v>143</v>
      </c>
      <c r="C24" s="109"/>
      <c r="D24" s="109"/>
      <c r="E24" s="109"/>
      <c r="F24" s="109"/>
      <c r="G24" s="109"/>
      <c r="H24" s="109"/>
      <c r="I24" s="109"/>
      <c r="J24" s="2">
        <f>ROUND(H17/44*H20,2)</f>
        <v>1194.6300000000001</v>
      </c>
    </row>
    <row r="25" spans="1:17" ht="12.75" customHeight="1">
      <c r="A25" s="67" t="s">
        <v>7</v>
      </c>
      <c r="B25" s="109" t="s">
        <v>26</v>
      </c>
      <c r="C25" s="109"/>
      <c r="D25" s="109"/>
      <c r="E25" s="109"/>
      <c r="F25" s="109"/>
      <c r="G25" s="109"/>
      <c r="H25" s="109"/>
      <c r="I25" s="3"/>
      <c r="J25" s="2"/>
      <c r="K25" s="57"/>
    </row>
    <row r="26" spans="1:17" ht="12.75" customHeight="1">
      <c r="A26" s="67" t="s">
        <v>9</v>
      </c>
      <c r="B26" s="109" t="s">
        <v>27</v>
      </c>
      <c r="C26" s="109"/>
      <c r="D26" s="109"/>
      <c r="E26" s="109"/>
      <c r="F26" s="109"/>
      <c r="G26" s="109"/>
      <c r="H26" s="109"/>
      <c r="I26" s="109"/>
      <c r="J26" s="2"/>
    </row>
    <row r="27" spans="1:17" ht="12.75" customHeight="1">
      <c r="A27" s="67" t="s">
        <v>12</v>
      </c>
      <c r="B27" s="109" t="s">
        <v>28</v>
      </c>
      <c r="C27" s="109"/>
      <c r="D27" s="109"/>
      <c r="E27" s="109"/>
      <c r="F27" s="109"/>
      <c r="G27" s="109"/>
      <c r="H27" s="109"/>
      <c r="I27" s="109"/>
      <c r="J27" s="2"/>
    </row>
    <row r="28" spans="1:17" ht="12.75" customHeight="1">
      <c r="A28" s="67" t="s">
        <v>29</v>
      </c>
      <c r="B28" s="109" t="s">
        <v>30</v>
      </c>
      <c r="C28" s="109"/>
      <c r="D28" s="109"/>
      <c r="E28" s="109"/>
      <c r="F28" s="109"/>
      <c r="G28" s="109"/>
      <c r="H28" s="109"/>
      <c r="I28" s="109"/>
      <c r="J28" s="2"/>
      <c r="Q28" s="54"/>
    </row>
    <row r="29" spans="1:17" ht="12.75" customHeight="1">
      <c r="A29" s="1" t="s">
        <v>7</v>
      </c>
      <c r="B29" s="109" t="s">
        <v>31</v>
      </c>
      <c r="C29" s="109"/>
      <c r="D29" s="109"/>
      <c r="E29" s="109"/>
      <c r="F29" s="109"/>
      <c r="G29" s="109"/>
      <c r="H29" s="109"/>
      <c r="I29" s="4">
        <v>0.2</v>
      </c>
      <c r="J29" s="2">
        <f>I29*J24</f>
        <v>238.92600000000004</v>
      </c>
      <c r="Q29" s="54"/>
    </row>
    <row r="30" spans="1:17" ht="15.75" customHeight="1">
      <c r="A30" s="116" t="s">
        <v>32</v>
      </c>
      <c r="B30" s="116"/>
      <c r="C30" s="116"/>
      <c r="D30" s="116"/>
      <c r="E30" s="116"/>
      <c r="F30" s="116"/>
      <c r="G30" s="116"/>
      <c r="H30" s="116"/>
      <c r="I30" s="116"/>
      <c r="J30" s="5">
        <f>SUM(J24:J29)</f>
        <v>1433.556</v>
      </c>
    </row>
    <row r="31" spans="1:17" ht="13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Q31" s="54"/>
    </row>
    <row r="32" spans="1:17" ht="16.149999999999999" customHeight="1">
      <c r="A32" s="112" t="s">
        <v>33</v>
      </c>
      <c r="B32" s="112"/>
      <c r="C32" s="112"/>
      <c r="D32" s="112"/>
      <c r="E32" s="112"/>
      <c r="F32" s="112"/>
      <c r="G32" s="112"/>
      <c r="H32" s="112"/>
      <c r="I32" s="112"/>
      <c r="J32" s="112"/>
    </row>
    <row r="33" spans="1:13" ht="14">
      <c r="A33" s="129" t="s">
        <v>34</v>
      </c>
      <c r="B33" s="129"/>
      <c r="C33" s="129"/>
      <c r="D33" s="129"/>
      <c r="E33" s="129"/>
      <c r="F33" s="129"/>
      <c r="G33" s="129"/>
      <c r="H33" s="129"/>
      <c r="I33" s="129"/>
      <c r="J33" s="129"/>
    </row>
    <row r="34" spans="1:13" ht="14">
      <c r="A34" s="6" t="s">
        <v>35</v>
      </c>
      <c r="B34" s="130" t="s">
        <v>36</v>
      </c>
      <c r="C34" s="130"/>
      <c r="D34" s="130"/>
      <c r="E34" s="130"/>
      <c r="F34" s="130"/>
      <c r="G34" s="130"/>
      <c r="H34" s="130"/>
      <c r="I34" s="130"/>
      <c r="J34" s="7" t="s">
        <v>37</v>
      </c>
    </row>
    <row r="35" spans="1:13" ht="27.65" customHeight="1">
      <c r="A35" s="8" t="s">
        <v>5</v>
      </c>
      <c r="B35" s="109" t="s">
        <v>38</v>
      </c>
      <c r="C35" s="109"/>
      <c r="D35" s="109"/>
      <c r="E35" s="109"/>
      <c r="F35" s="109"/>
      <c r="G35" s="109"/>
      <c r="H35" s="109"/>
      <c r="I35" s="9">
        <v>8.3299999999999999E-2</v>
      </c>
      <c r="J35" s="10">
        <f>ROUND($J$30*I35,2)</f>
        <v>119.42</v>
      </c>
      <c r="M35" s="55"/>
    </row>
    <row r="36" spans="1:13" ht="36.25" customHeight="1">
      <c r="A36" s="8" t="s">
        <v>7</v>
      </c>
      <c r="B36" s="120" t="s">
        <v>39</v>
      </c>
      <c r="C36" s="120"/>
      <c r="D36" s="120"/>
      <c r="E36" s="120"/>
      <c r="F36" s="120"/>
      <c r="G36" s="120"/>
      <c r="H36" s="120"/>
      <c r="I36" s="11">
        <v>3.0249999999999999E-2</v>
      </c>
      <c r="J36" s="10">
        <f>ROUND($J$30*I36,2)</f>
        <v>43.37</v>
      </c>
    </row>
    <row r="37" spans="1:13" ht="13">
      <c r="A37" s="128" t="s">
        <v>40</v>
      </c>
      <c r="B37" s="128"/>
      <c r="C37" s="128"/>
      <c r="D37" s="128"/>
      <c r="E37" s="128"/>
      <c r="F37" s="128"/>
      <c r="G37" s="128"/>
      <c r="H37" s="128"/>
      <c r="I37" s="128"/>
      <c r="J37" s="70">
        <f>SUM(J35+J36)</f>
        <v>162.79</v>
      </c>
    </row>
    <row r="38" spans="1:13" ht="13">
      <c r="A38" s="101"/>
      <c r="B38" s="101"/>
      <c r="C38" s="101"/>
      <c r="D38" s="101"/>
      <c r="E38" s="101"/>
      <c r="F38" s="101"/>
      <c r="G38" s="101"/>
      <c r="H38" s="101"/>
      <c r="I38" s="101"/>
      <c r="J38" s="101"/>
    </row>
    <row r="39" spans="1:13" ht="30.4" customHeight="1">
      <c r="A39" s="112" t="s">
        <v>41</v>
      </c>
      <c r="B39" s="112"/>
      <c r="C39" s="112"/>
      <c r="D39" s="112"/>
      <c r="E39" s="112"/>
      <c r="F39" s="112"/>
      <c r="G39" s="112"/>
      <c r="H39" s="112"/>
      <c r="I39" s="112"/>
      <c r="J39" s="112"/>
    </row>
    <row r="40" spans="1:13" ht="30.4" customHeight="1">
      <c r="A40" s="69" t="s">
        <v>42</v>
      </c>
      <c r="B40" s="113" t="s">
        <v>43</v>
      </c>
      <c r="C40" s="113"/>
      <c r="D40" s="113"/>
      <c r="E40" s="113"/>
      <c r="F40" s="113"/>
      <c r="G40" s="113"/>
      <c r="H40" s="113"/>
      <c r="I40" s="68" t="s">
        <v>44</v>
      </c>
      <c r="J40" s="68" t="s">
        <v>45</v>
      </c>
    </row>
    <row r="41" spans="1:13" ht="13">
      <c r="A41" s="8" t="s">
        <v>5</v>
      </c>
      <c r="B41" s="104" t="s">
        <v>46</v>
      </c>
      <c r="C41" s="104"/>
      <c r="D41" s="104"/>
      <c r="E41" s="104"/>
      <c r="F41" s="104"/>
      <c r="G41" s="104"/>
      <c r="H41" s="104"/>
      <c r="I41" s="15">
        <v>0.2</v>
      </c>
      <c r="J41" s="16">
        <f>ROUND(($J$30+$J$37)*I41,2)</f>
        <v>319.27</v>
      </c>
    </row>
    <row r="42" spans="1:13" ht="13">
      <c r="A42" s="8" t="s">
        <v>7</v>
      </c>
      <c r="B42" s="104" t="s">
        <v>47</v>
      </c>
      <c r="C42" s="104"/>
      <c r="D42" s="104"/>
      <c r="E42" s="104"/>
      <c r="F42" s="104"/>
      <c r="G42" s="104"/>
      <c r="H42" s="104"/>
      <c r="I42" s="15">
        <v>2.5000000000000001E-2</v>
      </c>
      <c r="J42" s="16">
        <f t="shared" ref="J42:J48" si="0">ROUND(($J$30+$J$37)*I42,2)</f>
        <v>39.909999999999997</v>
      </c>
    </row>
    <row r="43" spans="1:13" ht="23.9" customHeight="1">
      <c r="A43" s="8" t="s">
        <v>9</v>
      </c>
      <c r="B43" s="109" t="s">
        <v>48</v>
      </c>
      <c r="C43" s="109"/>
      <c r="D43" s="109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15.96</v>
      </c>
    </row>
    <row r="44" spans="1:13" ht="13">
      <c r="A44" s="8" t="s">
        <v>12</v>
      </c>
      <c r="B44" s="104" t="s">
        <v>51</v>
      </c>
      <c r="C44" s="104"/>
      <c r="D44" s="104"/>
      <c r="E44" s="104"/>
      <c r="F44" s="104"/>
      <c r="G44" s="104"/>
      <c r="H44" s="104"/>
      <c r="I44" s="15">
        <v>1.4999999999999999E-2</v>
      </c>
      <c r="J44" s="16">
        <f t="shared" si="0"/>
        <v>23.95</v>
      </c>
    </row>
    <row r="45" spans="1:13" ht="13">
      <c r="A45" s="8" t="s">
        <v>29</v>
      </c>
      <c r="B45" s="104" t="s">
        <v>52</v>
      </c>
      <c r="C45" s="104"/>
      <c r="D45" s="104"/>
      <c r="E45" s="104"/>
      <c r="F45" s="104"/>
      <c r="G45" s="104"/>
      <c r="H45" s="104"/>
      <c r="I45" s="15">
        <v>0.01</v>
      </c>
      <c r="J45" s="16">
        <f t="shared" si="0"/>
        <v>15.96</v>
      </c>
    </row>
    <row r="46" spans="1:13" ht="13">
      <c r="A46" s="8" t="s">
        <v>53</v>
      </c>
      <c r="B46" s="104" t="s">
        <v>54</v>
      </c>
      <c r="C46" s="104"/>
      <c r="D46" s="104"/>
      <c r="E46" s="104"/>
      <c r="F46" s="104"/>
      <c r="G46" s="104"/>
      <c r="H46" s="104"/>
      <c r="I46" s="15">
        <v>6.0000000000000001E-3</v>
      </c>
      <c r="J46" s="16">
        <f t="shared" si="0"/>
        <v>9.58</v>
      </c>
    </row>
    <row r="47" spans="1:13" ht="13">
      <c r="A47" s="8" t="s">
        <v>55</v>
      </c>
      <c r="B47" s="104" t="s">
        <v>56</v>
      </c>
      <c r="C47" s="104"/>
      <c r="D47" s="104"/>
      <c r="E47" s="104"/>
      <c r="F47" s="104"/>
      <c r="G47" s="104"/>
      <c r="H47" s="104"/>
      <c r="I47" s="15">
        <v>2E-3</v>
      </c>
      <c r="J47" s="16">
        <f t="shared" si="0"/>
        <v>3.19</v>
      </c>
    </row>
    <row r="48" spans="1:13" ht="13">
      <c r="A48" s="8" t="s">
        <v>57</v>
      </c>
      <c r="B48" s="104" t="s">
        <v>58</v>
      </c>
      <c r="C48" s="104"/>
      <c r="D48" s="104"/>
      <c r="E48" s="104"/>
      <c r="F48" s="104"/>
      <c r="G48" s="104"/>
      <c r="H48" s="104"/>
      <c r="I48" s="15">
        <v>0.08</v>
      </c>
      <c r="J48" s="16">
        <f t="shared" si="0"/>
        <v>127.71</v>
      </c>
    </row>
    <row r="49" spans="1:12" ht="13">
      <c r="A49" s="105" t="s">
        <v>40</v>
      </c>
      <c r="B49" s="105"/>
      <c r="C49" s="105"/>
      <c r="D49" s="105"/>
      <c r="E49" s="105"/>
      <c r="F49" s="105"/>
      <c r="G49" s="105"/>
      <c r="H49" s="105"/>
      <c r="I49" s="21">
        <f>SUM(I41:I48)</f>
        <v>0.34800000000000003</v>
      </c>
      <c r="J49" s="14">
        <f>SUM(J41:J48)</f>
        <v>555.52999999999986</v>
      </c>
    </row>
    <row r="50" spans="1:12" ht="13">
      <c r="A50" s="101"/>
      <c r="B50" s="101"/>
      <c r="C50" s="101"/>
      <c r="D50" s="101"/>
      <c r="E50" s="101"/>
      <c r="F50" s="101"/>
      <c r="G50" s="101"/>
      <c r="H50" s="101"/>
      <c r="I50" s="101"/>
      <c r="J50" s="101"/>
    </row>
    <row r="51" spans="1:12" ht="16.149999999999999" customHeight="1">
      <c r="A51" s="112" t="s">
        <v>59</v>
      </c>
      <c r="B51" s="112"/>
      <c r="C51" s="112"/>
      <c r="D51" s="112"/>
      <c r="E51" s="112"/>
      <c r="F51" s="112"/>
      <c r="G51" s="112"/>
      <c r="H51" s="112"/>
      <c r="I51" s="112"/>
      <c r="J51" s="112"/>
      <c r="L51" s="53"/>
    </row>
    <row r="52" spans="1:12" ht="16.149999999999999" customHeight="1">
      <c r="A52" s="69" t="s">
        <v>60</v>
      </c>
      <c r="B52" s="113" t="s">
        <v>61</v>
      </c>
      <c r="C52" s="113"/>
      <c r="D52" s="113"/>
      <c r="E52" s="113"/>
      <c r="F52" s="113"/>
      <c r="G52" s="113"/>
      <c r="H52" s="113"/>
      <c r="I52" s="113"/>
      <c r="J52" s="68" t="s">
        <v>37</v>
      </c>
    </row>
    <row r="53" spans="1:12" ht="13">
      <c r="A53" s="8" t="s">
        <v>5</v>
      </c>
      <c r="B53" s="104" t="s">
        <v>62</v>
      </c>
      <c r="C53" s="104"/>
      <c r="D53" s="104"/>
      <c r="E53" s="104"/>
      <c r="F53" s="104"/>
      <c r="G53" s="104"/>
      <c r="H53" s="104"/>
      <c r="I53" s="104"/>
      <c r="J53" s="16">
        <f>IF(ROUND((I56*I54*I55)-(J24*0.06),2)&lt;0,0,ROUND((I56*I54*I55)-(J24*0.06),2))</f>
        <v>139.52000000000001</v>
      </c>
    </row>
    <row r="54" spans="1:12" ht="13">
      <c r="A54" s="8"/>
      <c r="B54" s="121" t="s">
        <v>63</v>
      </c>
      <c r="C54" s="121"/>
      <c r="D54" s="121"/>
      <c r="E54" s="121"/>
      <c r="F54" s="121"/>
      <c r="G54" s="121"/>
      <c r="H54" s="121"/>
      <c r="I54" s="22">
        <v>4.8</v>
      </c>
      <c r="J54" s="51" t="s">
        <v>64</v>
      </c>
    </row>
    <row r="55" spans="1:12" ht="13">
      <c r="A55" s="8"/>
      <c r="B55" s="121" t="s">
        <v>65</v>
      </c>
      <c r="C55" s="121"/>
      <c r="D55" s="121"/>
      <c r="E55" s="121"/>
      <c r="F55" s="121"/>
      <c r="G55" s="121"/>
      <c r="H55" s="121"/>
      <c r="I55" s="23">
        <v>2</v>
      </c>
      <c r="J55" s="51"/>
    </row>
    <row r="56" spans="1:12" ht="13">
      <c r="A56" s="8"/>
      <c r="B56" s="121" t="s">
        <v>66</v>
      </c>
      <c r="C56" s="121"/>
      <c r="D56" s="121"/>
      <c r="E56" s="121"/>
      <c r="F56" s="121"/>
      <c r="G56" s="121"/>
      <c r="H56" s="121"/>
      <c r="I56" s="24">
        <v>22</v>
      </c>
      <c r="J56" s="51"/>
    </row>
    <row r="57" spans="1:12" ht="13">
      <c r="A57" s="8" t="s">
        <v>7</v>
      </c>
      <c r="B57" s="104" t="s">
        <v>67</v>
      </c>
      <c r="C57" s="104"/>
      <c r="D57" s="104"/>
      <c r="E57" s="104"/>
      <c r="F57" s="104"/>
      <c r="G57" s="104"/>
      <c r="H57" s="104"/>
      <c r="I57" s="104"/>
      <c r="J57" s="16">
        <f>ROUND((I58*I59)-(I59*I58*I60),2)</f>
        <v>359.61</v>
      </c>
    </row>
    <row r="58" spans="1:12" ht="13">
      <c r="A58" s="8"/>
      <c r="B58" s="121" t="s">
        <v>68</v>
      </c>
      <c r="C58" s="121"/>
      <c r="D58" s="121"/>
      <c r="E58" s="121"/>
      <c r="F58" s="121"/>
      <c r="G58" s="121"/>
      <c r="H58" s="121"/>
      <c r="I58" s="22">
        <v>20.18</v>
      </c>
      <c r="J58" s="51" t="s">
        <v>64</v>
      </c>
    </row>
    <row r="59" spans="1:12" ht="13">
      <c r="A59" s="25"/>
      <c r="B59" s="121" t="s">
        <v>69</v>
      </c>
      <c r="C59" s="121"/>
      <c r="D59" s="121"/>
      <c r="E59" s="121"/>
      <c r="F59" s="121"/>
      <c r="G59" s="121"/>
      <c r="H59" s="121"/>
      <c r="I59" s="26">
        <v>22</v>
      </c>
      <c r="J59" s="51"/>
    </row>
    <row r="60" spans="1:12" ht="13">
      <c r="A60" s="25"/>
      <c r="B60" s="121" t="s">
        <v>132</v>
      </c>
      <c r="C60" s="121"/>
      <c r="D60" s="121"/>
      <c r="E60" s="121"/>
      <c r="F60" s="121"/>
      <c r="G60" s="121"/>
      <c r="H60" s="121"/>
      <c r="I60" s="52">
        <v>0.19</v>
      </c>
      <c r="J60" s="51"/>
    </row>
    <row r="61" spans="1:12" ht="27.65" customHeight="1">
      <c r="A61" s="8" t="s">
        <v>9</v>
      </c>
      <c r="B61" s="122" t="s">
        <v>70</v>
      </c>
      <c r="C61" s="123"/>
      <c r="D61" s="123"/>
      <c r="E61" s="123"/>
      <c r="F61" s="123"/>
      <c r="G61" s="123"/>
      <c r="H61" s="123"/>
      <c r="I61" s="124"/>
      <c r="J61" s="27">
        <v>0</v>
      </c>
    </row>
    <row r="62" spans="1:12" ht="27.65" customHeight="1">
      <c r="A62" s="8" t="s">
        <v>12</v>
      </c>
      <c r="B62" s="122"/>
      <c r="C62" s="123"/>
      <c r="D62" s="123"/>
      <c r="E62" s="123"/>
      <c r="F62" s="123"/>
      <c r="G62" s="123"/>
      <c r="H62" s="123"/>
      <c r="I62" s="124"/>
      <c r="J62" s="27"/>
      <c r="L62" s="50"/>
    </row>
    <row r="63" spans="1:12" ht="27.65" customHeight="1">
      <c r="A63" s="8" t="s">
        <v>12</v>
      </c>
      <c r="B63" s="122" t="s">
        <v>186</v>
      </c>
      <c r="C63" s="123"/>
      <c r="D63" s="123"/>
      <c r="E63" s="123"/>
      <c r="F63" s="123"/>
      <c r="G63" s="123"/>
      <c r="H63" s="123"/>
      <c r="I63" s="124"/>
      <c r="J63" s="27">
        <v>17.32</v>
      </c>
      <c r="L63" s="50"/>
    </row>
    <row r="64" spans="1:12" ht="13">
      <c r="A64" s="125" t="s">
        <v>32</v>
      </c>
      <c r="B64" s="126"/>
      <c r="C64" s="126"/>
      <c r="D64" s="126"/>
      <c r="E64" s="126"/>
      <c r="F64" s="126"/>
      <c r="G64" s="126"/>
      <c r="H64" s="126"/>
      <c r="I64" s="127"/>
      <c r="J64" s="14">
        <f>SUM(J53:J63)</f>
        <v>516.45000000000005</v>
      </c>
      <c r="L64" s="50"/>
    </row>
    <row r="65" spans="1:12" ht="13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L65" s="50"/>
    </row>
    <row r="66" spans="1:12" ht="16.149999999999999" customHeight="1">
      <c r="A66" s="112" t="s">
        <v>71</v>
      </c>
      <c r="B66" s="112"/>
      <c r="C66" s="112"/>
      <c r="D66" s="112"/>
      <c r="E66" s="112"/>
      <c r="F66" s="112"/>
      <c r="G66" s="112"/>
      <c r="H66" s="112"/>
      <c r="I66" s="112"/>
      <c r="J66" s="112"/>
      <c r="L66" s="50"/>
    </row>
    <row r="67" spans="1:12" ht="16.149999999999999" customHeight="1">
      <c r="A67" s="68">
        <v>2</v>
      </c>
      <c r="B67" s="115" t="s">
        <v>72</v>
      </c>
      <c r="C67" s="115"/>
      <c r="D67" s="115"/>
      <c r="E67" s="115"/>
      <c r="F67" s="115"/>
      <c r="G67" s="115"/>
      <c r="H67" s="115"/>
      <c r="I67" s="115"/>
      <c r="J67" s="68" t="s">
        <v>37</v>
      </c>
      <c r="L67" s="50"/>
    </row>
    <row r="68" spans="1:12" ht="14.65" customHeight="1">
      <c r="A68" s="1" t="s">
        <v>35</v>
      </c>
      <c r="B68" s="1"/>
      <c r="C68" s="109" t="s">
        <v>73</v>
      </c>
      <c r="D68" s="109"/>
      <c r="E68" s="109"/>
      <c r="F68" s="109"/>
      <c r="G68" s="109"/>
      <c r="H68" s="109"/>
      <c r="I68" s="109"/>
      <c r="J68" s="28">
        <f>J37</f>
        <v>162.79</v>
      </c>
      <c r="L68" s="50"/>
    </row>
    <row r="69" spans="1:12" ht="14.65" customHeight="1">
      <c r="A69" s="1" t="s">
        <v>42</v>
      </c>
      <c r="B69" s="1"/>
      <c r="C69" s="109" t="s">
        <v>43</v>
      </c>
      <c r="D69" s="109"/>
      <c r="E69" s="109"/>
      <c r="F69" s="109"/>
      <c r="G69" s="109"/>
      <c r="H69" s="109"/>
      <c r="I69" s="109"/>
      <c r="J69" s="28">
        <f>J49</f>
        <v>555.52999999999986</v>
      </c>
      <c r="L69" s="50"/>
    </row>
    <row r="70" spans="1:12" ht="14.65" customHeight="1">
      <c r="A70" s="1" t="s">
        <v>60</v>
      </c>
      <c r="B70" s="1"/>
      <c r="C70" s="109" t="s">
        <v>61</v>
      </c>
      <c r="D70" s="109"/>
      <c r="E70" s="109"/>
      <c r="F70" s="109"/>
      <c r="G70" s="109"/>
      <c r="H70" s="109"/>
      <c r="I70" s="109"/>
      <c r="J70" s="28">
        <f>J64</f>
        <v>516.45000000000005</v>
      </c>
      <c r="L70" s="50"/>
    </row>
    <row r="71" spans="1:12" ht="14.65" customHeight="1">
      <c r="A71" s="116" t="s">
        <v>40</v>
      </c>
      <c r="B71" s="116"/>
      <c r="C71" s="116"/>
      <c r="D71" s="116"/>
      <c r="E71" s="116"/>
      <c r="F71" s="116"/>
      <c r="G71" s="116"/>
      <c r="H71" s="116"/>
      <c r="I71" s="116"/>
      <c r="J71" s="29">
        <f>SUM(J68+J69+J70)</f>
        <v>1234.77</v>
      </c>
    </row>
    <row r="72" spans="1:12" ht="13">
      <c r="A72" s="101"/>
      <c r="B72" s="101"/>
      <c r="C72" s="101"/>
      <c r="D72" s="101"/>
      <c r="E72" s="101"/>
      <c r="F72" s="101"/>
      <c r="G72" s="101"/>
      <c r="H72" s="101"/>
      <c r="I72" s="101"/>
      <c r="J72" s="101"/>
    </row>
    <row r="73" spans="1:12" ht="16.149999999999999" customHeight="1">
      <c r="A73" s="112" t="s">
        <v>74</v>
      </c>
      <c r="B73" s="112"/>
      <c r="C73" s="112"/>
      <c r="D73" s="112"/>
      <c r="E73" s="112"/>
      <c r="F73" s="112"/>
      <c r="G73" s="112"/>
      <c r="H73" s="112"/>
      <c r="I73" s="112"/>
      <c r="J73" s="112"/>
    </row>
    <row r="74" spans="1:12" ht="16.149999999999999" customHeight="1">
      <c r="A74" s="69">
        <v>3</v>
      </c>
      <c r="B74" s="115" t="s">
        <v>75</v>
      </c>
      <c r="C74" s="115"/>
      <c r="D74" s="115"/>
      <c r="E74" s="115"/>
      <c r="F74" s="115"/>
      <c r="G74" s="115"/>
      <c r="H74" s="115"/>
      <c r="I74" s="115"/>
      <c r="J74" s="69" t="s">
        <v>76</v>
      </c>
    </row>
    <row r="75" spans="1:12" ht="46.5" customHeight="1">
      <c r="A75" s="8" t="s">
        <v>5</v>
      </c>
      <c r="B75" s="109" t="s">
        <v>135</v>
      </c>
      <c r="C75" s="109"/>
      <c r="D75" s="109"/>
      <c r="E75" s="109"/>
      <c r="F75" s="109"/>
      <c r="G75" s="109"/>
      <c r="H75" s="109"/>
      <c r="I75" s="109"/>
      <c r="J75" s="16">
        <f>ROUND(((J30)+(J35)+(J30/12)+(J36))/12*0.01,2)</f>
        <v>1.43</v>
      </c>
      <c r="L75" s="50"/>
    </row>
    <row r="76" spans="1:12" ht="14.65" customHeight="1">
      <c r="A76" s="8" t="s">
        <v>7</v>
      </c>
      <c r="B76" s="109" t="s">
        <v>77</v>
      </c>
      <c r="C76" s="109"/>
      <c r="D76" s="109"/>
      <c r="E76" s="109"/>
      <c r="F76" s="109"/>
      <c r="G76" s="109"/>
      <c r="H76" s="109"/>
      <c r="I76" s="109"/>
      <c r="J76" s="16">
        <f>ROUND($J$75*I48,2)</f>
        <v>0.11</v>
      </c>
    </row>
    <row r="77" spans="1:12" ht="36.25" customHeight="1">
      <c r="A77" s="8" t="s">
        <v>9</v>
      </c>
      <c r="B77" s="109" t="s">
        <v>136</v>
      </c>
      <c r="C77" s="109"/>
      <c r="D77" s="109"/>
      <c r="E77" s="109"/>
      <c r="F77" s="109"/>
      <c r="G77" s="109"/>
      <c r="H77" s="109"/>
      <c r="I77" s="30">
        <v>2.3999999999999998E-3</v>
      </c>
      <c r="J77" s="16">
        <f>ROUND($J$30*I77,2)</f>
        <v>3.44</v>
      </c>
    </row>
    <row r="78" spans="1:12" ht="34.5" customHeight="1">
      <c r="A78" s="8" t="s">
        <v>12</v>
      </c>
      <c r="B78" s="109" t="s">
        <v>138</v>
      </c>
      <c r="C78" s="109"/>
      <c r="D78" s="109"/>
      <c r="E78" s="109"/>
      <c r="F78" s="109"/>
      <c r="G78" s="109"/>
      <c r="H78" s="109"/>
      <c r="I78" s="109"/>
      <c r="J78" s="16">
        <f>J30/30*7/12*0.05</f>
        <v>1.3937350000000002</v>
      </c>
    </row>
    <row r="79" spans="1:12" ht="14.65" customHeight="1">
      <c r="A79" s="8" t="s">
        <v>29</v>
      </c>
      <c r="B79" s="109" t="s">
        <v>78</v>
      </c>
      <c r="C79" s="109"/>
      <c r="D79" s="109"/>
      <c r="E79" s="109"/>
      <c r="F79" s="109"/>
      <c r="G79" s="109"/>
      <c r="H79" s="109"/>
      <c r="I79" s="109"/>
      <c r="J79" s="16">
        <f>ROUND($I$49*J78,2)</f>
        <v>0.49</v>
      </c>
    </row>
    <row r="80" spans="1:12" ht="36.25" customHeight="1">
      <c r="A80" s="8" t="s">
        <v>53</v>
      </c>
      <c r="B80" s="109" t="s">
        <v>137</v>
      </c>
      <c r="C80" s="109"/>
      <c r="D80" s="109"/>
      <c r="E80" s="109"/>
      <c r="F80" s="109"/>
      <c r="G80" s="109"/>
      <c r="H80" s="109"/>
      <c r="I80" s="30">
        <v>3.7600000000000001E-2</v>
      </c>
      <c r="J80" s="16">
        <f>ROUND($J$30*I80,2)</f>
        <v>53.9</v>
      </c>
    </row>
    <row r="81" spans="1:10" ht="13">
      <c r="A81" s="105" t="s">
        <v>40</v>
      </c>
      <c r="B81" s="105"/>
      <c r="C81" s="105"/>
      <c r="D81" s="105"/>
      <c r="E81" s="105"/>
      <c r="F81" s="105"/>
      <c r="G81" s="105"/>
      <c r="H81" s="105"/>
      <c r="I81" s="105"/>
      <c r="J81" s="14">
        <f>SUM(J75:J80)</f>
        <v>60.763734999999997</v>
      </c>
    </row>
    <row r="82" spans="1:10" ht="13">
      <c r="A82" s="101"/>
      <c r="B82" s="101"/>
      <c r="C82" s="101"/>
      <c r="D82" s="101"/>
      <c r="E82" s="101"/>
      <c r="F82" s="101"/>
      <c r="G82" s="101"/>
      <c r="H82" s="101"/>
      <c r="I82" s="101"/>
      <c r="J82" s="101"/>
    </row>
    <row r="83" spans="1:10" ht="16.149999999999999" customHeight="1">
      <c r="A83" s="112" t="s">
        <v>79</v>
      </c>
      <c r="B83" s="112"/>
      <c r="C83" s="112"/>
      <c r="D83" s="112"/>
      <c r="E83" s="112"/>
      <c r="F83" s="112"/>
      <c r="G83" s="112"/>
      <c r="H83" s="112"/>
      <c r="I83" s="112"/>
      <c r="J83" s="112"/>
    </row>
    <row r="84" spans="1:10" ht="15" customHeight="1">
      <c r="A84" s="119" t="s">
        <v>80</v>
      </c>
      <c r="B84" s="119"/>
      <c r="C84" s="119"/>
      <c r="D84" s="119"/>
      <c r="E84" s="119"/>
      <c r="F84" s="119"/>
      <c r="G84" s="119"/>
      <c r="H84" s="119"/>
      <c r="I84" s="119"/>
      <c r="J84" s="31">
        <f>J87+J30+J35+J36</f>
        <v>1726.4459999999999</v>
      </c>
    </row>
    <row r="85" spans="1:10" ht="14.65" customHeight="1">
      <c r="A85" s="120"/>
      <c r="B85" s="120"/>
      <c r="C85" s="120"/>
      <c r="D85" s="120"/>
      <c r="E85" s="120"/>
      <c r="F85" s="120"/>
      <c r="G85" s="120"/>
      <c r="H85" s="120"/>
      <c r="I85" s="120"/>
      <c r="J85" s="120"/>
    </row>
    <row r="86" spans="1:10" ht="14">
      <c r="A86" s="32" t="s">
        <v>81</v>
      </c>
      <c r="B86" s="113" t="s">
        <v>82</v>
      </c>
      <c r="C86" s="113"/>
      <c r="D86" s="113"/>
      <c r="E86" s="113"/>
      <c r="F86" s="113"/>
      <c r="G86" s="113"/>
      <c r="H86" s="113"/>
      <c r="I86" s="113"/>
      <c r="J86" s="32" t="s">
        <v>37</v>
      </c>
    </row>
    <row r="87" spans="1:10" ht="12.75" customHeight="1">
      <c r="A87" s="12" t="s">
        <v>5</v>
      </c>
      <c r="B87" s="109" t="s">
        <v>83</v>
      </c>
      <c r="C87" s="109"/>
      <c r="D87" s="109"/>
      <c r="E87" s="109"/>
      <c r="F87" s="109"/>
      <c r="G87" s="109"/>
      <c r="H87" s="109"/>
      <c r="I87" s="33">
        <f>12.1%-I36</f>
        <v>9.0749999999999997E-2</v>
      </c>
      <c r="J87" s="16">
        <f>ROUND(($J$30*I87),2)</f>
        <v>130.1</v>
      </c>
    </row>
    <row r="88" spans="1:10" ht="13">
      <c r="A88" s="12" t="s">
        <v>7</v>
      </c>
      <c r="B88" s="104" t="s">
        <v>131</v>
      </c>
      <c r="C88" s="104"/>
      <c r="D88" s="104"/>
      <c r="E88" s="104"/>
      <c r="F88" s="104"/>
      <c r="G88" s="104"/>
      <c r="H88" s="104"/>
      <c r="I88" s="104"/>
      <c r="J88" s="34">
        <f>J84/30*0.1/12</f>
        <v>0.47956833333333332</v>
      </c>
    </row>
    <row r="89" spans="1:10" ht="13">
      <c r="A89" s="12" t="s">
        <v>9</v>
      </c>
      <c r="B89" s="104" t="s">
        <v>84</v>
      </c>
      <c r="C89" s="104"/>
      <c r="D89" s="104"/>
      <c r="E89" s="104"/>
      <c r="F89" s="104"/>
      <c r="G89" s="104"/>
      <c r="H89" s="104"/>
      <c r="I89" s="104"/>
      <c r="J89" s="34">
        <f>J84/30*5/12*1.5%</f>
        <v>0.35967624999999998</v>
      </c>
    </row>
    <row r="90" spans="1:10" ht="13">
      <c r="A90" s="12" t="s">
        <v>12</v>
      </c>
      <c r="B90" s="104" t="s">
        <v>85</v>
      </c>
      <c r="C90" s="104"/>
      <c r="D90" s="104"/>
      <c r="E90" s="104"/>
      <c r="F90" s="104"/>
      <c r="G90" s="104"/>
      <c r="H90" s="104"/>
      <c r="I90" s="104"/>
      <c r="J90" s="13">
        <f>J84/30*15/12*0.78%</f>
        <v>0.56109494999999998</v>
      </c>
    </row>
    <row r="91" spans="1:10" ht="13">
      <c r="A91" s="12" t="s">
        <v>29</v>
      </c>
      <c r="B91" s="104" t="s">
        <v>86</v>
      </c>
      <c r="C91" s="104"/>
      <c r="D91" s="104"/>
      <c r="E91" s="104"/>
      <c r="F91" s="104"/>
      <c r="G91" s="104"/>
      <c r="H91" s="104"/>
      <c r="I91" s="104"/>
      <c r="J91" s="16">
        <f>(J30+J36)/12*4/12*1%</f>
        <v>0.41025722222222222</v>
      </c>
    </row>
    <row r="92" spans="1:10" ht="13">
      <c r="A92" s="35" t="s">
        <v>53</v>
      </c>
      <c r="B92" s="118" t="s">
        <v>87</v>
      </c>
      <c r="C92" s="118"/>
      <c r="D92" s="118"/>
      <c r="E92" s="118"/>
      <c r="F92" s="118"/>
      <c r="G92" s="118"/>
      <c r="H92" s="118"/>
      <c r="I92" s="118"/>
      <c r="J92" s="13">
        <f>J84/30*0.15/12</f>
        <v>0.71935249999999984</v>
      </c>
    </row>
    <row r="93" spans="1:10" ht="13">
      <c r="A93" s="105" t="s">
        <v>40</v>
      </c>
      <c r="B93" s="105"/>
      <c r="C93" s="105"/>
      <c r="D93" s="105"/>
      <c r="E93" s="105"/>
      <c r="F93" s="105"/>
      <c r="G93" s="105"/>
      <c r="H93" s="105"/>
      <c r="I93" s="105"/>
      <c r="J93" s="36">
        <f>SUM(J87:J92)</f>
        <v>132.62994925555557</v>
      </c>
    </row>
    <row r="94" spans="1:10" ht="14.65" customHeight="1">
      <c r="A94" s="12"/>
      <c r="B94" s="104"/>
      <c r="C94" s="104"/>
      <c r="D94" s="104"/>
      <c r="E94" s="104"/>
      <c r="F94" s="104"/>
      <c r="G94" s="104"/>
      <c r="H94" s="104"/>
      <c r="I94" s="104"/>
      <c r="J94" s="13"/>
    </row>
    <row r="95" spans="1:10" ht="13">
      <c r="A95" s="105" t="s">
        <v>40</v>
      </c>
      <c r="B95" s="105"/>
      <c r="C95" s="105"/>
      <c r="D95" s="105"/>
      <c r="E95" s="105"/>
      <c r="F95" s="105"/>
      <c r="G95" s="105"/>
      <c r="H95" s="105"/>
      <c r="I95" s="105"/>
      <c r="J95" s="14">
        <f>SUM(J93:J94)</f>
        <v>132.62994925555557</v>
      </c>
    </row>
    <row r="96" spans="1:10" ht="16.149999999999999" customHeight="1">
      <c r="A96" s="112" t="s">
        <v>88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14">
      <c r="A97" s="69" t="s">
        <v>89</v>
      </c>
      <c r="B97" s="113" t="s">
        <v>90</v>
      </c>
      <c r="C97" s="113"/>
      <c r="D97" s="113"/>
      <c r="E97" s="113"/>
      <c r="F97" s="113"/>
      <c r="G97" s="113"/>
      <c r="H97" s="113"/>
      <c r="I97" s="113"/>
      <c r="J97" s="37" t="s">
        <v>37</v>
      </c>
    </row>
    <row r="98" spans="1:10" ht="13">
      <c r="A98" s="8" t="s">
        <v>5</v>
      </c>
      <c r="B98" s="104" t="s">
        <v>91</v>
      </c>
      <c r="C98" s="104"/>
      <c r="D98" s="104"/>
      <c r="E98" s="104"/>
      <c r="F98" s="104"/>
      <c r="G98" s="104"/>
      <c r="H98" s="104"/>
      <c r="I98" s="104"/>
      <c r="J98" s="16">
        <v>0</v>
      </c>
    </row>
    <row r="99" spans="1:10" ht="13">
      <c r="A99" s="117" t="s">
        <v>40</v>
      </c>
      <c r="B99" s="117"/>
      <c r="C99" s="117"/>
      <c r="D99" s="117"/>
      <c r="E99" s="117"/>
      <c r="F99" s="117"/>
      <c r="G99" s="117"/>
      <c r="H99" s="117"/>
      <c r="I99" s="117"/>
      <c r="J99" s="16">
        <v>0</v>
      </c>
    </row>
    <row r="100" spans="1:10" ht="13">
      <c r="A100" s="12"/>
      <c r="B100" s="104"/>
      <c r="C100" s="104"/>
      <c r="D100" s="104"/>
      <c r="E100" s="104"/>
      <c r="F100" s="104"/>
      <c r="G100" s="104"/>
      <c r="H100" s="104"/>
      <c r="I100" s="104"/>
      <c r="J100" s="13"/>
    </row>
    <row r="101" spans="1:10" ht="13">
      <c r="A101" s="105" t="s">
        <v>40</v>
      </c>
      <c r="B101" s="105"/>
      <c r="C101" s="105"/>
      <c r="D101" s="105"/>
      <c r="E101" s="105"/>
      <c r="F101" s="105"/>
      <c r="G101" s="105"/>
      <c r="H101" s="105"/>
      <c r="I101" s="105"/>
      <c r="J101" s="14">
        <f>SUM(J99:J100)</f>
        <v>0</v>
      </c>
    </row>
    <row r="102" spans="1:10" ht="13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</row>
    <row r="103" spans="1:10" ht="16.149999999999999" customHeight="1">
      <c r="A103" s="112" t="s">
        <v>92</v>
      </c>
      <c r="B103" s="112"/>
      <c r="C103" s="112"/>
      <c r="D103" s="112"/>
      <c r="E103" s="112"/>
      <c r="F103" s="112"/>
      <c r="G103" s="112"/>
      <c r="H103" s="112"/>
      <c r="I103" s="112"/>
      <c r="J103" s="112"/>
    </row>
    <row r="104" spans="1:10" ht="16.149999999999999" customHeight="1">
      <c r="A104" s="68">
        <v>4</v>
      </c>
      <c r="B104" s="115" t="s">
        <v>93</v>
      </c>
      <c r="C104" s="115"/>
      <c r="D104" s="115"/>
      <c r="E104" s="115"/>
      <c r="F104" s="115"/>
      <c r="G104" s="115"/>
      <c r="H104" s="115"/>
      <c r="I104" s="115"/>
      <c r="J104" s="37" t="s">
        <v>37</v>
      </c>
    </row>
    <row r="105" spans="1:10" ht="14.65" customHeight="1">
      <c r="A105" s="1" t="s">
        <v>81</v>
      </c>
      <c r="B105" s="109" t="s">
        <v>94</v>
      </c>
      <c r="C105" s="109"/>
      <c r="D105" s="109"/>
      <c r="E105" s="109"/>
      <c r="F105" s="109"/>
      <c r="G105" s="109"/>
      <c r="H105" s="109"/>
      <c r="I105" s="109"/>
      <c r="J105" s="16">
        <f>J95</f>
        <v>132.62994925555557</v>
      </c>
    </row>
    <row r="106" spans="1:10" ht="14.65" customHeight="1">
      <c r="A106" s="1" t="s">
        <v>95</v>
      </c>
      <c r="B106" s="109" t="s">
        <v>96</v>
      </c>
      <c r="C106" s="109"/>
      <c r="D106" s="109"/>
      <c r="E106" s="109"/>
      <c r="F106" s="109"/>
      <c r="G106" s="109"/>
      <c r="H106" s="109"/>
      <c r="I106" s="109"/>
      <c r="J106" s="16">
        <f>J101</f>
        <v>0</v>
      </c>
    </row>
    <row r="107" spans="1:10" ht="14.65" customHeight="1">
      <c r="A107" s="116" t="s">
        <v>40</v>
      </c>
      <c r="B107" s="116"/>
      <c r="C107" s="116"/>
      <c r="D107" s="116"/>
      <c r="E107" s="116"/>
      <c r="F107" s="116"/>
      <c r="G107" s="116"/>
      <c r="H107" s="116"/>
      <c r="I107" s="116"/>
      <c r="J107" s="14">
        <f>SUM(J105+J106)</f>
        <v>132.62994925555557</v>
      </c>
    </row>
    <row r="108" spans="1:10" ht="13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</row>
    <row r="109" spans="1:10" ht="16.149999999999999" customHeight="1">
      <c r="A109" s="112" t="s">
        <v>97</v>
      </c>
      <c r="B109" s="112"/>
      <c r="C109" s="112"/>
      <c r="D109" s="112"/>
      <c r="E109" s="112"/>
      <c r="F109" s="112"/>
      <c r="G109" s="112"/>
      <c r="H109" s="112"/>
      <c r="I109" s="112"/>
      <c r="J109" s="112"/>
    </row>
    <row r="110" spans="1:10" ht="16.149999999999999" customHeight="1">
      <c r="A110" s="69">
        <v>5</v>
      </c>
      <c r="B110" s="113" t="s">
        <v>98</v>
      </c>
      <c r="C110" s="113"/>
      <c r="D110" s="113"/>
      <c r="E110" s="113"/>
      <c r="F110" s="113"/>
      <c r="G110" s="113"/>
      <c r="H110" s="113"/>
      <c r="I110" s="113"/>
      <c r="J110" s="69" t="s">
        <v>37</v>
      </c>
    </row>
    <row r="111" spans="1:10" ht="13">
      <c r="A111" s="8" t="s">
        <v>5</v>
      </c>
      <c r="B111" s="104" t="s">
        <v>185</v>
      </c>
      <c r="C111" s="104"/>
      <c r="D111" s="104"/>
      <c r="E111" s="104"/>
      <c r="F111" s="104"/>
      <c r="G111" s="104"/>
      <c r="H111" s="104"/>
      <c r="I111" s="104"/>
      <c r="J111" s="16">
        <f>Descritivo!E48</f>
        <v>91.369065656565652</v>
      </c>
    </row>
    <row r="112" spans="1:10" ht="13">
      <c r="A112" s="8" t="s">
        <v>7</v>
      </c>
      <c r="B112" s="104" t="s">
        <v>99</v>
      </c>
      <c r="C112" s="104"/>
      <c r="D112" s="104"/>
      <c r="E112" s="104"/>
      <c r="F112" s="104"/>
      <c r="G112" s="104"/>
      <c r="H112" s="104"/>
      <c r="I112" s="104"/>
      <c r="J112" s="27">
        <f>Descritivo!D93</f>
        <v>116.16919191919192</v>
      </c>
    </row>
    <row r="113" spans="1:10" ht="13">
      <c r="A113" s="8" t="s">
        <v>9</v>
      </c>
      <c r="B113" s="104" t="s">
        <v>139</v>
      </c>
      <c r="C113" s="104"/>
      <c r="D113" s="104"/>
      <c r="E113" s="104"/>
      <c r="F113" s="104"/>
      <c r="G113" s="104"/>
      <c r="H113" s="104"/>
      <c r="I113" s="104"/>
      <c r="J113" s="27">
        <f>Descritivo!C101</f>
        <v>36.363636363636367</v>
      </c>
    </row>
    <row r="114" spans="1:10" ht="13">
      <c r="A114" s="8" t="s">
        <v>12</v>
      </c>
      <c r="B114" s="104" t="s">
        <v>100</v>
      </c>
      <c r="C114" s="104"/>
      <c r="D114" s="104"/>
      <c r="E114" s="104"/>
      <c r="F114" s="104"/>
      <c r="G114" s="104"/>
      <c r="H114" s="104"/>
      <c r="I114" s="104"/>
      <c r="J114" s="27"/>
    </row>
    <row r="115" spans="1:10" ht="13">
      <c r="A115" s="105" t="s">
        <v>32</v>
      </c>
      <c r="B115" s="105"/>
      <c r="C115" s="105"/>
      <c r="D115" s="105"/>
      <c r="E115" s="105"/>
      <c r="F115" s="105"/>
      <c r="G115" s="105"/>
      <c r="H115" s="105"/>
      <c r="I115" s="105"/>
      <c r="J115" s="38">
        <f>SUM(J111:J114)</f>
        <v>243.90189393939394</v>
      </c>
    </row>
    <row r="116" spans="1:10" ht="13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</row>
    <row r="117" spans="1:10" ht="16.149999999999999" customHeight="1">
      <c r="A117" s="112" t="s">
        <v>101</v>
      </c>
      <c r="B117" s="112"/>
      <c r="C117" s="112"/>
      <c r="D117" s="112"/>
      <c r="E117" s="112"/>
      <c r="F117" s="112"/>
      <c r="G117" s="112"/>
      <c r="H117" s="112"/>
      <c r="I117" s="112"/>
      <c r="J117" s="112"/>
    </row>
    <row r="118" spans="1:10" ht="28">
      <c r="A118" s="69">
        <v>6</v>
      </c>
      <c r="B118" s="113" t="s">
        <v>102</v>
      </c>
      <c r="C118" s="113"/>
      <c r="D118" s="113"/>
      <c r="E118" s="113"/>
      <c r="F118" s="113"/>
      <c r="G118" s="113"/>
      <c r="H118" s="113"/>
      <c r="I118" s="68" t="s">
        <v>44</v>
      </c>
      <c r="J118" s="39" t="s">
        <v>103</v>
      </c>
    </row>
    <row r="119" spans="1:10" ht="12.75" customHeight="1">
      <c r="A119" s="111" t="s">
        <v>104</v>
      </c>
      <c r="B119" s="111"/>
      <c r="C119" s="111"/>
      <c r="D119" s="111"/>
      <c r="E119" s="111"/>
      <c r="F119" s="111"/>
      <c r="G119" s="111"/>
      <c r="H119" s="111"/>
      <c r="I119" s="40" t="s">
        <v>64</v>
      </c>
      <c r="J119" s="41">
        <f>SUM(J30+J71+J81+J107+J115)</f>
        <v>3105.6215781949495</v>
      </c>
    </row>
    <row r="120" spans="1:10" ht="15.5">
      <c r="A120" s="42" t="s">
        <v>5</v>
      </c>
      <c r="B120" s="110" t="s">
        <v>105</v>
      </c>
      <c r="C120" s="110"/>
      <c r="D120" s="110"/>
      <c r="E120" s="110"/>
      <c r="F120" s="110"/>
      <c r="G120" s="110"/>
      <c r="H120" s="110"/>
      <c r="I120" s="15">
        <v>0.1091</v>
      </c>
      <c r="J120" s="16">
        <f>ROUND(I120*J119,2)</f>
        <v>338.82</v>
      </c>
    </row>
    <row r="121" spans="1:10" ht="12.75" customHeight="1">
      <c r="A121" s="111" t="s">
        <v>106</v>
      </c>
      <c r="B121" s="111"/>
      <c r="C121" s="111"/>
      <c r="D121" s="111"/>
      <c r="E121" s="111"/>
      <c r="F121" s="111"/>
      <c r="G121" s="111"/>
      <c r="H121" s="111"/>
      <c r="I121" s="43" t="s">
        <v>64</v>
      </c>
      <c r="J121" s="41">
        <f>SUM(J30+J71+J81+J107+J115+J120)</f>
        <v>3444.4415781949497</v>
      </c>
    </row>
    <row r="122" spans="1:10" ht="15.5">
      <c r="A122" s="42" t="s">
        <v>7</v>
      </c>
      <c r="B122" s="110" t="s">
        <v>107</v>
      </c>
      <c r="C122" s="110"/>
      <c r="D122" s="110"/>
      <c r="E122" s="110"/>
      <c r="F122" s="110"/>
      <c r="G122" s="110"/>
      <c r="H122" s="110"/>
      <c r="I122" s="20">
        <v>0.15109700000000001</v>
      </c>
      <c r="J122" s="16">
        <f>ROUND(I122*J121,2)</f>
        <v>520.44000000000005</v>
      </c>
    </row>
    <row r="123" spans="1:10" ht="12.75" customHeight="1">
      <c r="A123" s="111" t="s">
        <v>108</v>
      </c>
      <c r="B123" s="111"/>
      <c r="C123" s="111"/>
      <c r="D123" s="111"/>
      <c r="E123" s="111"/>
      <c r="F123" s="111"/>
      <c r="G123" s="111"/>
      <c r="H123" s="111"/>
      <c r="I123" s="43" t="s">
        <v>64</v>
      </c>
      <c r="J123" s="41">
        <f>SUM(J30+J71+J81+J107+J115+J120+J122)</f>
        <v>3964.8815781949497</v>
      </c>
    </row>
    <row r="124" spans="1:10" ht="15.5">
      <c r="A124" s="42" t="s">
        <v>9</v>
      </c>
      <c r="B124" s="110" t="s">
        <v>109</v>
      </c>
      <c r="C124" s="110"/>
      <c r="D124" s="110"/>
      <c r="E124" s="110"/>
      <c r="F124" s="110"/>
      <c r="G124" s="110"/>
      <c r="H124" s="110"/>
      <c r="I124" s="9" t="s">
        <v>64</v>
      </c>
      <c r="J124" s="51" t="s">
        <v>64</v>
      </c>
    </row>
    <row r="125" spans="1:10" ht="13">
      <c r="A125" s="8"/>
      <c r="B125" s="104" t="s">
        <v>110</v>
      </c>
      <c r="C125" s="104"/>
      <c r="D125" s="104"/>
      <c r="E125" s="104"/>
      <c r="F125" s="104"/>
      <c r="G125" s="104"/>
      <c r="H125" s="104"/>
      <c r="I125" s="9" t="s">
        <v>64</v>
      </c>
      <c r="J125" s="51" t="s">
        <v>64</v>
      </c>
    </row>
    <row r="126" spans="1:10" ht="13">
      <c r="A126" s="8"/>
      <c r="B126" s="104" t="s">
        <v>111</v>
      </c>
      <c r="C126" s="104"/>
      <c r="D126" s="104"/>
      <c r="E126" s="104"/>
      <c r="F126" s="104"/>
      <c r="G126" s="104"/>
      <c r="H126" s="104"/>
      <c r="I126" s="44">
        <v>0.03</v>
      </c>
      <c r="J126" s="16">
        <f>ROUND(($J$123/(1-$I$135))*I126,2)</f>
        <v>130.21</v>
      </c>
    </row>
    <row r="127" spans="1:10" ht="13">
      <c r="A127" s="8"/>
      <c r="B127" s="104" t="s">
        <v>112</v>
      </c>
      <c r="C127" s="104"/>
      <c r="D127" s="104"/>
      <c r="E127" s="104"/>
      <c r="F127" s="104"/>
      <c r="G127" s="104"/>
      <c r="H127" s="104"/>
      <c r="I127" s="44">
        <v>6.4999999999999997E-3</v>
      </c>
      <c r="J127" s="16">
        <f>ROUND(($J$123/(1-$I$135))*I127,2)</f>
        <v>28.21</v>
      </c>
    </row>
    <row r="128" spans="1:10" ht="27.65" customHeight="1">
      <c r="A128" s="8"/>
      <c r="B128" s="109" t="s">
        <v>113</v>
      </c>
      <c r="C128" s="109"/>
      <c r="D128" s="109"/>
      <c r="E128" s="109"/>
      <c r="F128" s="109"/>
      <c r="G128" s="109"/>
      <c r="H128" s="109"/>
      <c r="I128" s="45" t="s">
        <v>64</v>
      </c>
      <c r="J128" s="51" t="s">
        <v>64</v>
      </c>
    </row>
    <row r="129" spans="1:10" ht="27.65" customHeight="1">
      <c r="A129" s="8"/>
      <c r="B129" s="109" t="s">
        <v>114</v>
      </c>
      <c r="C129" s="109"/>
      <c r="D129" s="109"/>
      <c r="E129" s="109"/>
      <c r="F129" s="109"/>
      <c r="G129" s="109"/>
      <c r="H129" s="109"/>
      <c r="I129" s="45" t="s">
        <v>64</v>
      </c>
      <c r="J129" s="51" t="s">
        <v>64</v>
      </c>
    </row>
    <row r="130" spans="1:10" ht="13">
      <c r="A130" s="8"/>
      <c r="B130" s="104" t="s">
        <v>115</v>
      </c>
      <c r="C130" s="104"/>
      <c r="D130" s="104"/>
      <c r="E130" s="104"/>
      <c r="F130" s="104"/>
      <c r="G130" s="104"/>
      <c r="H130" s="104"/>
      <c r="I130" s="45" t="s">
        <v>64</v>
      </c>
      <c r="J130" s="51" t="s">
        <v>64</v>
      </c>
    </row>
    <row r="131" spans="1:10" ht="13">
      <c r="A131" s="8"/>
      <c r="B131" s="104" t="s">
        <v>116</v>
      </c>
      <c r="C131" s="104"/>
      <c r="D131" s="104"/>
      <c r="E131" s="104"/>
      <c r="F131" s="104"/>
      <c r="G131" s="104"/>
      <c r="H131" s="104"/>
      <c r="I131" s="45" t="s">
        <v>64</v>
      </c>
      <c r="J131" s="51" t="s">
        <v>64</v>
      </c>
    </row>
    <row r="132" spans="1:10" ht="13">
      <c r="A132" s="8"/>
      <c r="B132" s="104" t="s">
        <v>134</v>
      </c>
      <c r="C132" s="104"/>
      <c r="D132" s="104"/>
      <c r="E132" s="104"/>
      <c r="F132" s="104"/>
      <c r="G132" s="104"/>
      <c r="H132" s="104"/>
      <c r="I132" s="44">
        <v>0.05</v>
      </c>
      <c r="J132" s="16">
        <f>ROUND(($J$123/(1-$I$135))*I132,2)</f>
        <v>217.02</v>
      </c>
    </row>
    <row r="133" spans="1:10" ht="13">
      <c r="A133" s="105" t="s">
        <v>40</v>
      </c>
      <c r="B133" s="105"/>
      <c r="C133" s="105"/>
      <c r="D133" s="105"/>
      <c r="E133" s="105"/>
      <c r="F133" s="105"/>
      <c r="G133" s="105"/>
      <c r="H133" s="105"/>
      <c r="I133" s="105"/>
      <c r="J133" s="14">
        <f>SUM(J120+J122+J126+J127+J132)</f>
        <v>1234.7</v>
      </c>
    </row>
    <row r="134" spans="1:10" ht="13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</row>
    <row r="135" spans="1:10" ht="14.65" customHeight="1">
      <c r="A135" s="106" t="s">
        <v>117</v>
      </c>
      <c r="B135" s="106"/>
      <c r="C135" s="106"/>
      <c r="D135" s="106"/>
      <c r="E135" s="106"/>
      <c r="F135" s="106"/>
      <c r="G135" s="106"/>
      <c r="H135" s="106"/>
      <c r="I135" s="46">
        <f>SUM(I126:I132)</f>
        <v>8.6499999999999994E-2</v>
      </c>
      <c r="J135" s="41">
        <f>SUM(J126:J132)</f>
        <v>375.44000000000005</v>
      </c>
    </row>
    <row r="136" spans="1:10">
      <c r="A136" s="107" t="s">
        <v>118</v>
      </c>
      <c r="B136" s="107"/>
      <c r="C136" s="107"/>
      <c r="D136" s="108" t="s">
        <v>119</v>
      </c>
      <c r="E136" s="108"/>
      <c r="F136" s="108"/>
      <c r="G136" s="108"/>
      <c r="H136" s="108"/>
      <c r="I136" s="108"/>
      <c r="J136" s="108"/>
    </row>
    <row r="137" spans="1:10">
      <c r="A137" s="107"/>
      <c r="B137" s="107"/>
      <c r="C137" s="107"/>
      <c r="D137" s="108" t="s">
        <v>120</v>
      </c>
      <c r="E137" s="108"/>
      <c r="F137" s="108"/>
      <c r="G137" s="108"/>
      <c r="H137" s="108"/>
      <c r="I137" s="108"/>
      <c r="J137" s="108"/>
    </row>
    <row r="138" spans="1:10">
      <c r="A138" s="107"/>
      <c r="B138" s="107"/>
      <c r="C138" s="107"/>
      <c r="D138" s="108" t="s">
        <v>121</v>
      </c>
      <c r="E138" s="108"/>
      <c r="F138" s="108"/>
      <c r="G138" s="108"/>
      <c r="H138" s="108"/>
      <c r="I138" s="108"/>
      <c r="J138" s="108"/>
    </row>
    <row r="139" spans="1:10" ht="13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</row>
    <row r="140" spans="1:10" ht="46" customHeight="1">
      <c r="A140" s="102" t="s">
        <v>122</v>
      </c>
      <c r="B140" s="102"/>
      <c r="C140" s="102"/>
      <c r="D140" s="102"/>
      <c r="E140" s="102"/>
      <c r="F140" s="102"/>
      <c r="G140" s="102"/>
      <c r="H140" s="102"/>
      <c r="I140" s="102"/>
      <c r="J140" s="102"/>
    </row>
    <row r="141" spans="1:10" ht="14.65" customHeight="1">
      <c r="A141" s="103" t="s">
        <v>123</v>
      </c>
      <c r="B141" s="103"/>
      <c r="C141" s="103"/>
      <c r="D141" s="103"/>
      <c r="E141" s="103"/>
      <c r="F141" s="103"/>
      <c r="G141" s="103"/>
      <c r="H141" s="103"/>
      <c r="I141" s="103"/>
      <c r="J141" s="47" t="s">
        <v>37</v>
      </c>
    </row>
    <row r="142" spans="1:10" ht="14.65" customHeight="1">
      <c r="A142" s="48" t="s">
        <v>5</v>
      </c>
      <c r="B142" s="99" t="s">
        <v>124</v>
      </c>
      <c r="C142" s="99"/>
      <c r="D142" s="99"/>
      <c r="E142" s="99"/>
      <c r="F142" s="99"/>
      <c r="G142" s="99"/>
      <c r="H142" s="99"/>
      <c r="I142" s="99"/>
      <c r="J142" s="27">
        <f>J30</f>
        <v>1433.556</v>
      </c>
    </row>
    <row r="143" spans="1:10" ht="14.65" customHeight="1">
      <c r="A143" s="48" t="s">
        <v>7</v>
      </c>
      <c r="B143" s="99" t="s">
        <v>33</v>
      </c>
      <c r="C143" s="99"/>
      <c r="D143" s="99"/>
      <c r="E143" s="99"/>
      <c r="F143" s="99"/>
      <c r="G143" s="99"/>
      <c r="H143" s="99"/>
      <c r="I143" s="99"/>
      <c r="J143" s="27">
        <f>J71</f>
        <v>1234.77</v>
      </c>
    </row>
    <row r="144" spans="1:10" ht="14.65" customHeight="1">
      <c r="A144" s="48" t="s">
        <v>9</v>
      </c>
      <c r="B144" s="99" t="s">
        <v>125</v>
      </c>
      <c r="C144" s="99"/>
      <c r="D144" s="99"/>
      <c r="E144" s="99"/>
      <c r="F144" s="99"/>
      <c r="G144" s="99"/>
      <c r="H144" s="99"/>
      <c r="I144" s="99"/>
      <c r="J144" s="27">
        <f>J81</f>
        <v>60.763734999999997</v>
      </c>
    </row>
    <row r="145" spans="1:12" ht="14.65" customHeight="1">
      <c r="A145" s="48" t="s">
        <v>12</v>
      </c>
      <c r="B145" s="99" t="s">
        <v>126</v>
      </c>
      <c r="C145" s="99"/>
      <c r="D145" s="99"/>
      <c r="E145" s="99"/>
      <c r="F145" s="99"/>
      <c r="G145" s="99"/>
      <c r="H145" s="99"/>
      <c r="I145" s="99"/>
      <c r="J145" s="27">
        <f>J107</f>
        <v>132.62994925555557</v>
      </c>
    </row>
    <row r="146" spans="1:12" ht="14.65" customHeight="1">
      <c r="A146" s="48" t="s">
        <v>29</v>
      </c>
      <c r="B146" s="99" t="s">
        <v>127</v>
      </c>
      <c r="C146" s="99"/>
      <c r="D146" s="99"/>
      <c r="E146" s="99"/>
      <c r="F146" s="99"/>
      <c r="G146" s="99"/>
      <c r="H146" s="99"/>
      <c r="I146" s="99"/>
      <c r="J146" s="27">
        <f>J115</f>
        <v>243.90189393939394</v>
      </c>
    </row>
    <row r="147" spans="1:12" ht="14.65" customHeight="1">
      <c r="A147" s="100" t="s">
        <v>128</v>
      </c>
      <c r="B147" s="100"/>
      <c r="C147" s="100"/>
      <c r="D147" s="100"/>
      <c r="E147" s="100"/>
      <c r="F147" s="100"/>
      <c r="G147" s="100"/>
      <c r="H147" s="100"/>
      <c r="I147" s="100"/>
      <c r="J147" s="38">
        <f>SUM(J142:J146)</f>
        <v>3105.6215781949495</v>
      </c>
    </row>
    <row r="148" spans="1:12" ht="14.65" customHeight="1">
      <c r="A148" s="48" t="s">
        <v>53</v>
      </c>
      <c r="B148" s="99" t="s">
        <v>129</v>
      </c>
      <c r="C148" s="99"/>
      <c r="D148" s="99"/>
      <c r="E148" s="99"/>
      <c r="F148" s="99"/>
      <c r="G148" s="99"/>
      <c r="H148" s="99"/>
      <c r="I148" s="99"/>
      <c r="J148" s="27">
        <f>J133</f>
        <v>1234.7</v>
      </c>
    </row>
    <row r="149" spans="1:12" ht="14.65" customHeight="1">
      <c r="A149" s="100" t="s">
        <v>130</v>
      </c>
      <c r="B149" s="100"/>
      <c r="C149" s="100"/>
      <c r="D149" s="100"/>
      <c r="E149" s="100"/>
      <c r="F149" s="100"/>
      <c r="G149" s="100"/>
      <c r="H149" s="100"/>
      <c r="I149" s="100"/>
      <c r="J149" s="38">
        <f>SUM(J147:J148)</f>
        <v>4340.3215781949493</v>
      </c>
    </row>
    <row r="150" spans="1:12" ht="27.5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B60:H60"/>
    <mergeCell ref="B61:I61"/>
    <mergeCell ref="B62:I62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A1:J1"/>
    <mergeCell ref="A2:J2"/>
    <mergeCell ref="A3:G3"/>
    <mergeCell ref="H3:J3"/>
    <mergeCell ref="A4:G4"/>
    <mergeCell ref="H4:J4"/>
    <mergeCell ref="B9:G9"/>
    <mergeCell ref="H9:J9"/>
    <mergeCell ref="B10:G10"/>
    <mergeCell ref="H10:J10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152AA-AAA0-4F48-B93A-AD21129DED4C}">
  <sheetPr>
    <tabColor rgb="FF0070C0"/>
  </sheetPr>
  <dimension ref="A1:Q172"/>
  <sheetViews>
    <sheetView showGridLines="0" view="pageBreakPreview" topLeftCell="A37" zoomScaleNormal="100" zoomScaleSheetLayoutView="100" zoomScalePageLayoutView="95" workbookViewId="0">
      <selection activeCell="I62" sqref="I62"/>
    </sheetView>
  </sheetViews>
  <sheetFormatPr defaultRowHeight="12.5"/>
  <cols>
    <col min="1" max="9" width="8.7265625" customWidth="1"/>
    <col min="10" max="10" width="15.453125" customWidth="1"/>
    <col min="11" max="11" width="17.453125" customWidth="1"/>
    <col min="12" max="12" width="17" customWidth="1"/>
    <col min="13" max="16" width="8.7265625" customWidth="1"/>
    <col min="17" max="17" width="10.81640625" customWidth="1"/>
    <col min="18" max="1025" width="8.7265625" customWidth="1"/>
  </cols>
  <sheetData>
    <row r="1" spans="1:12" ht="24.25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2" ht="46.5" customHeight="1">
      <c r="A2" s="136" t="s">
        <v>297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2" ht="14.65" customHeight="1">
      <c r="A3" s="109" t="s">
        <v>1</v>
      </c>
      <c r="B3" s="109"/>
      <c r="C3" s="109"/>
      <c r="D3" s="109"/>
      <c r="E3" s="109"/>
      <c r="F3" s="109"/>
      <c r="G3" s="109"/>
      <c r="H3" s="138" t="s">
        <v>145</v>
      </c>
      <c r="I3" s="139"/>
      <c r="J3" s="139"/>
    </row>
    <row r="4" spans="1:12" ht="14.65" customHeight="1">
      <c r="A4" s="109" t="s">
        <v>2</v>
      </c>
      <c r="B4" s="109"/>
      <c r="C4" s="109"/>
      <c r="D4" s="109"/>
      <c r="E4" s="109"/>
      <c r="F4" s="109"/>
      <c r="G4" s="109"/>
      <c r="H4" s="140" t="s">
        <v>144</v>
      </c>
      <c r="I4" s="139"/>
      <c r="J4" s="139"/>
    </row>
    <row r="5" spans="1:12" ht="14.65" customHeight="1">
      <c r="A5" s="109" t="s">
        <v>3</v>
      </c>
      <c r="B5" s="109"/>
      <c r="C5" s="109"/>
      <c r="D5" s="109"/>
      <c r="E5" s="109"/>
      <c r="F5" s="109"/>
      <c r="G5" s="109"/>
      <c r="H5" s="109"/>
      <c r="I5" s="109"/>
      <c r="J5" s="109"/>
    </row>
    <row r="6" spans="1:12" ht="16.149999999999999" customHeight="1">
      <c r="A6" s="142" t="s">
        <v>4</v>
      </c>
      <c r="B6" s="142"/>
      <c r="C6" s="142"/>
      <c r="D6" s="142"/>
      <c r="E6" s="142"/>
      <c r="F6" s="142"/>
      <c r="G6" s="142"/>
      <c r="H6" s="142"/>
      <c r="I6" s="142"/>
      <c r="J6" s="142"/>
    </row>
    <row r="7" spans="1:12" ht="14.65" customHeight="1">
      <c r="A7" s="1" t="s">
        <v>5</v>
      </c>
      <c r="B7" s="109" t="s">
        <v>6</v>
      </c>
      <c r="C7" s="109"/>
      <c r="D7" s="109"/>
      <c r="E7" s="109"/>
      <c r="F7" s="109"/>
      <c r="G7" s="109"/>
      <c r="H7" s="141">
        <v>44029</v>
      </c>
      <c r="I7" s="141"/>
      <c r="J7" s="141"/>
    </row>
    <row r="8" spans="1:12" ht="14.65" customHeight="1">
      <c r="A8" s="1" t="s">
        <v>7</v>
      </c>
      <c r="B8" s="109" t="s">
        <v>8</v>
      </c>
      <c r="C8" s="109"/>
      <c r="D8" s="109"/>
      <c r="E8" s="109"/>
      <c r="F8" s="109"/>
      <c r="G8" s="109"/>
      <c r="H8" s="141" t="s">
        <v>140</v>
      </c>
      <c r="I8" s="141"/>
      <c r="J8" s="141"/>
    </row>
    <row r="9" spans="1:12" ht="39" customHeight="1">
      <c r="A9" s="1" t="s">
        <v>9</v>
      </c>
      <c r="B9" s="109" t="s">
        <v>10</v>
      </c>
      <c r="C9" s="109"/>
      <c r="D9" s="109"/>
      <c r="E9" s="109"/>
      <c r="F9" s="109"/>
      <c r="G9" s="109"/>
      <c r="H9" s="141" t="s">
        <v>11</v>
      </c>
      <c r="I9" s="141"/>
      <c r="J9" s="141"/>
      <c r="L9" s="55"/>
    </row>
    <row r="10" spans="1:12" ht="14.65" customHeight="1">
      <c r="A10" s="1" t="s">
        <v>12</v>
      </c>
      <c r="B10" s="109" t="s">
        <v>13</v>
      </c>
      <c r="C10" s="109"/>
      <c r="D10" s="109"/>
      <c r="E10" s="109"/>
      <c r="F10" s="109"/>
      <c r="G10" s="109"/>
      <c r="H10" s="139">
        <v>12</v>
      </c>
      <c r="I10" s="139"/>
      <c r="J10" s="139"/>
    </row>
    <row r="11" spans="1:12" ht="13">
      <c r="A11" s="101"/>
      <c r="B11" s="101"/>
      <c r="C11" s="101"/>
      <c r="D11" s="101"/>
      <c r="E11" s="101"/>
      <c r="F11" s="101"/>
      <c r="G11" s="101"/>
      <c r="H11" s="101"/>
      <c r="I11" s="101"/>
      <c r="J11" s="101"/>
    </row>
    <row r="12" spans="1:12" ht="48.75" customHeight="1">
      <c r="A12" s="132" t="s">
        <v>14</v>
      </c>
      <c r="B12" s="132"/>
      <c r="C12" s="132"/>
      <c r="D12" s="132"/>
      <c r="E12" s="132"/>
      <c r="F12" s="132"/>
      <c r="G12" s="132"/>
      <c r="H12" s="132"/>
      <c r="I12" s="132"/>
      <c r="J12" s="132"/>
      <c r="L12" s="55"/>
    </row>
    <row r="13" spans="1:12" ht="13">
      <c r="A13" s="101"/>
      <c r="B13" s="101"/>
      <c r="C13" s="101"/>
      <c r="D13" s="101"/>
      <c r="E13" s="101"/>
      <c r="F13" s="101"/>
      <c r="G13" s="101"/>
      <c r="H13" s="101"/>
      <c r="I13" s="101"/>
      <c r="J13" s="101"/>
    </row>
    <row r="14" spans="1:12" ht="16.149999999999999" customHeight="1">
      <c r="A14" s="115" t="s">
        <v>15</v>
      </c>
      <c r="B14" s="115"/>
      <c r="C14" s="115"/>
      <c r="D14" s="115"/>
      <c r="E14" s="115"/>
      <c r="F14" s="115"/>
      <c r="G14" s="115"/>
      <c r="H14" s="115"/>
      <c r="I14" s="115"/>
      <c r="J14" s="115"/>
      <c r="L14" s="55"/>
    </row>
    <row r="15" spans="1:12" ht="16.149999999999999" customHeight="1">
      <c r="A15" s="1">
        <v>1</v>
      </c>
      <c r="B15" s="109" t="s">
        <v>16</v>
      </c>
      <c r="C15" s="109"/>
      <c r="D15" s="109"/>
      <c r="E15" s="109"/>
      <c r="F15" s="109"/>
      <c r="G15" s="109"/>
      <c r="H15" s="134" t="s">
        <v>17</v>
      </c>
      <c r="I15" s="134"/>
      <c r="J15" s="134"/>
    </row>
    <row r="16" spans="1:12" ht="16.149999999999999" customHeight="1">
      <c r="A16" s="1">
        <v>2</v>
      </c>
      <c r="B16" s="109" t="s">
        <v>18</v>
      </c>
      <c r="C16" s="109"/>
      <c r="D16" s="109"/>
      <c r="E16" s="109"/>
      <c r="F16" s="109"/>
      <c r="G16" s="109"/>
      <c r="H16" s="134">
        <v>9511</v>
      </c>
      <c r="I16" s="134"/>
      <c r="J16" s="134"/>
    </row>
    <row r="17" spans="1:17" ht="16.149999999999999" customHeight="1">
      <c r="A17" s="1">
        <v>3</v>
      </c>
      <c r="B17" s="109" t="s">
        <v>19</v>
      </c>
      <c r="C17" s="109"/>
      <c r="D17" s="109"/>
      <c r="E17" s="109"/>
      <c r="F17" s="109"/>
      <c r="G17" s="109"/>
      <c r="H17" s="143">
        <v>1314.09</v>
      </c>
      <c r="I17" s="143"/>
      <c r="J17" s="143"/>
    </row>
    <row r="18" spans="1:17" ht="16.149999999999999" customHeight="1">
      <c r="A18" s="1">
        <v>4</v>
      </c>
      <c r="B18" s="109" t="s">
        <v>20</v>
      </c>
      <c r="C18" s="109"/>
      <c r="D18" s="109"/>
      <c r="E18" s="109"/>
      <c r="F18" s="109"/>
      <c r="G18" s="109"/>
      <c r="H18" s="134" t="s">
        <v>168</v>
      </c>
      <c r="I18" s="134"/>
      <c r="J18" s="134"/>
    </row>
    <row r="19" spans="1:17" ht="16.149999999999999" customHeight="1">
      <c r="A19" s="1">
        <v>5</v>
      </c>
      <c r="B19" s="109" t="s">
        <v>21</v>
      </c>
      <c r="C19" s="109"/>
      <c r="D19" s="109"/>
      <c r="E19" s="109"/>
      <c r="F19" s="109"/>
      <c r="G19" s="109"/>
      <c r="H19" s="133" t="s">
        <v>141</v>
      </c>
      <c r="I19" s="133"/>
      <c r="J19" s="133"/>
    </row>
    <row r="20" spans="1:17" ht="16.149999999999999" customHeight="1">
      <c r="A20" s="1">
        <v>5</v>
      </c>
      <c r="B20" s="109" t="s">
        <v>133</v>
      </c>
      <c r="C20" s="109"/>
      <c r="D20" s="109"/>
      <c r="E20" s="109"/>
      <c r="F20" s="109"/>
      <c r="G20" s="109"/>
      <c r="H20" s="131">
        <v>44</v>
      </c>
      <c r="I20" s="131"/>
      <c r="J20" s="131"/>
    </row>
    <row r="21" spans="1:17" ht="13">
      <c r="A21" s="101"/>
      <c r="B21" s="101"/>
      <c r="C21" s="101"/>
      <c r="D21" s="101"/>
      <c r="E21" s="101"/>
      <c r="F21" s="101"/>
      <c r="G21" s="101"/>
      <c r="H21" s="101"/>
      <c r="I21" s="101"/>
      <c r="J21" s="101"/>
    </row>
    <row r="22" spans="1:17" ht="20.65" customHeight="1">
      <c r="A22" s="132" t="s">
        <v>22</v>
      </c>
      <c r="B22" s="132"/>
      <c r="C22" s="132"/>
      <c r="D22" s="132"/>
      <c r="E22" s="132"/>
      <c r="F22" s="132"/>
      <c r="G22" s="132"/>
      <c r="H22" s="132"/>
      <c r="I22" s="132"/>
      <c r="J22" s="132"/>
    </row>
    <row r="23" spans="1:17" ht="30.4" customHeight="1">
      <c r="A23" s="64">
        <v>1</v>
      </c>
      <c r="B23" s="115" t="s">
        <v>23</v>
      </c>
      <c r="C23" s="115"/>
      <c r="D23" s="115"/>
      <c r="E23" s="115"/>
      <c r="F23" s="115"/>
      <c r="G23" s="115"/>
      <c r="H23" s="115" t="s">
        <v>24</v>
      </c>
      <c r="I23" s="115"/>
      <c r="J23" s="64" t="s">
        <v>25</v>
      </c>
    </row>
    <row r="24" spans="1:17" ht="12.75" customHeight="1">
      <c r="A24" s="1" t="s">
        <v>5</v>
      </c>
      <c r="B24" s="109" t="s">
        <v>143</v>
      </c>
      <c r="C24" s="109"/>
      <c r="D24" s="109"/>
      <c r="E24" s="109"/>
      <c r="F24" s="109"/>
      <c r="G24" s="109"/>
      <c r="H24" s="109"/>
      <c r="I24" s="109"/>
      <c r="J24" s="2">
        <f>ROUND(H17/44*H20,2)</f>
        <v>1314.09</v>
      </c>
    </row>
    <row r="25" spans="1:17" ht="12.75" customHeight="1">
      <c r="A25" s="66" t="s">
        <v>7</v>
      </c>
      <c r="B25" s="109" t="s">
        <v>26</v>
      </c>
      <c r="C25" s="109"/>
      <c r="D25" s="109"/>
      <c r="E25" s="109"/>
      <c r="F25" s="109"/>
      <c r="G25" s="109"/>
      <c r="H25" s="109"/>
      <c r="I25" s="3"/>
      <c r="J25" s="2"/>
      <c r="K25" s="57"/>
    </row>
    <row r="26" spans="1:17" ht="12.75" customHeight="1">
      <c r="A26" s="66" t="s">
        <v>9</v>
      </c>
      <c r="B26" s="109" t="s">
        <v>27</v>
      </c>
      <c r="C26" s="109"/>
      <c r="D26" s="109"/>
      <c r="E26" s="109"/>
      <c r="F26" s="109"/>
      <c r="G26" s="109"/>
      <c r="H26" s="109"/>
      <c r="I26" s="109"/>
      <c r="J26" s="2"/>
    </row>
    <row r="27" spans="1:17" ht="12.75" customHeight="1">
      <c r="A27" s="66" t="s">
        <v>12</v>
      </c>
      <c r="B27" s="109" t="s">
        <v>28</v>
      </c>
      <c r="C27" s="109"/>
      <c r="D27" s="109"/>
      <c r="E27" s="109"/>
      <c r="F27" s="109"/>
      <c r="G27" s="109"/>
      <c r="H27" s="109"/>
      <c r="I27" s="109"/>
      <c r="J27" s="2"/>
    </row>
    <row r="28" spans="1:17" ht="12.75" customHeight="1">
      <c r="A28" s="66" t="s">
        <v>29</v>
      </c>
      <c r="B28" s="109" t="s">
        <v>30</v>
      </c>
      <c r="C28" s="109"/>
      <c r="D28" s="109"/>
      <c r="E28" s="109"/>
      <c r="F28" s="109"/>
      <c r="G28" s="109"/>
      <c r="H28" s="109"/>
      <c r="I28" s="109"/>
      <c r="J28" s="2"/>
      <c r="Q28" s="54"/>
    </row>
    <row r="29" spans="1:17" ht="12.75" customHeight="1">
      <c r="A29" s="1" t="s">
        <v>7</v>
      </c>
      <c r="B29" s="109" t="s">
        <v>31</v>
      </c>
      <c r="C29" s="109"/>
      <c r="D29" s="109"/>
      <c r="E29" s="109"/>
      <c r="F29" s="109"/>
      <c r="G29" s="109"/>
      <c r="H29" s="109"/>
      <c r="I29" s="4">
        <v>0.2</v>
      </c>
      <c r="J29" s="2">
        <f>I29*J24</f>
        <v>262.81799999999998</v>
      </c>
      <c r="Q29" s="54"/>
    </row>
    <row r="30" spans="1:17" ht="15.75" customHeight="1">
      <c r="A30" s="116" t="s">
        <v>32</v>
      </c>
      <c r="B30" s="116"/>
      <c r="C30" s="116"/>
      <c r="D30" s="116"/>
      <c r="E30" s="116"/>
      <c r="F30" s="116"/>
      <c r="G30" s="116"/>
      <c r="H30" s="116"/>
      <c r="I30" s="116"/>
      <c r="J30" s="5">
        <f>SUM(J24:J29)</f>
        <v>1576.9079999999999</v>
      </c>
    </row>
    <row r="31" spans="1:17" ht="13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Q31" s="54"/>
    </row>
    <row r="32" spans="1:17" ht="16.149999999999999" customHeight="1">
      <c r="A32" s="112" t="s">
        <v>33</v>
      </c>
      <c r="B32" s="112"/>
      <c r="C32" s="112"/>
      <c r="D32" s="112"/>
      <c r="E32" s="112"/>
      <c r="F32" s="112"/>
      <c r="G32" s="112"/>
      <c r="H32" s="112"/>
      <c r="I32" s="112"/>
      <c r="J32" s="112"/>
    </row>
    <row r="33" spans="1:13" ht="14">
      <c r="A33" s="129" t="s">
        <v>34</v>
      </c>
      <c r="B33" s="129"/>
      <c r="C33" s="129"/>
      <c r="D33" s="129"/>
      <c r="E33" s="129"/>
      <c r="F33" s="129"/>
      <c r="G33" s="129"/>
      <c r="H33" s="129"/>
      <c r="I33" s="129"/>
      <c r="J33" s="129"/>
    </row>
    <row r="34" spans="1:13" ht="14">
      <c r="A34" s="6" t="s">
        <v>35</v>
      </c>
      <c r="B34" s="130" t="s">
        <v>36</v>
      </c>
      <c r="C34" s="130"/>
      <c r="D34" s="130"/>
      <c r="E34" s="130"/>
      <c r="F34" s="130"/>
      <c r="G34" s="130"/>
      <c r="H34" s="130"/>
      <c r="I34" s="130"/>
      <c r="J34" s="7" t="s">
        <v>37</v>
      </c>
    </row>
    <row r="35" spans="1:13" ht="27.65" customHeight="1">
      <c r="A35" s="8" t="s">
        <v>5</v>
      </c>
      <c r="B35" s="109" t="s">
        <v>38</v>
      </c>
      <c r="C35" s="109"/>
      <c r="D35" s="109"/>
      <c r="E35" s="109"/>
      <c r="F35" s="109"/>
      <c r="G35" s="109"/>
      <c r="H35" s="109"/>
      <c r="I35" s="9">
        <v>8.3299999999999999E-2</v>
      </c>
      <c r="J35" s="10">
        <f>ROUND($J$30*I35,2)</f>
        <v>131.36000000000001</v>
      </c>
      <c r="M35" s="55"/>
    </row>
    <row r="36" spans="1:13" ht="36.25" customHeight="1">
      <c r="A36" s="8" t="s">
        <v>7</v>
      </c>
      <c r="B36" s="120" t="s">
        <v>39</v>
      </c>
      <c r="C36" s="120"/>
      <c r="D36" s="120"/>
      <c r="E36" s="120"/>
      <c r="F36" s="120"/>
      <c r="G36" s="120"/>
      <c r="H36" s="120"/>
      <c r="I36" s="11">
        <v>3.0249999999999999E-2</v>
      </c>
      <c r="J36" s="10">
        <f>ROUND($J$30*I36,2)</f>
        <v>47.7</v>
      </c>
    </row>
    <row r="37" spans="1:13" ht="13">
      <c r="A37" s="128" t="s">
        <v>40</v>
      </c>
      <c r="B37" s="128"/>
      <c r="C37" s="128"/>
      <c r="D37" s="128"/>
      <c r="E37" s="128"/>
      <c r="F37" s="128"/>
      <c r="G37" s="128"/>
      <c r="H37" s="128"/>
      <c r="I37" s="128"/>
      <c r="J37" s="65">
        <f>SUM(J35+J36)</f>
        <v>179.06</v>
      </c>
    </row>
    <row r="38" spans="1:13" ht="13">
      <c r="A38" s="101"/>
      <c r="B38" s="101"/>
      <c r="C38" s="101"/>
      <c r="D38" s="101"/>
      <c r="E38" s="101"/>
      <c r="F38" s="101"/>
      <c r="G38" s="101"/>
      <c r="H38" s="101"/>
      <c r="I38" s="101"/>
      <c r="J38" s="101"/>
    </row>
    <row r="39" spans="1:13" ht="30.4" customHeight="1">
      <c r="A39" s="112" t="s">
        <v>41</v>
      </c>
      <c r="B39" s="112"/>
      <c r="C39" s="112"/>
      <c r="D39" s="112"/>
      <c r="E39" s="112"/>
      <c r="F39" s="112"/>
      <c r="G39" s="112"/>
      <c r="H39" s="112"/>
      <c r="I39" s="112"/>
      <c r="J39" s="112"/>
    </row>
    <row r="40" spans="1:13" ht="30.4" customHeight="1">
      <c r="A40" s="63" t="s">
        <v>42</v>
      </c>
      <c r="B40" s="113" t="s">
        <v>43</v>
      </c>
      <c r="C40" s="113"/>
      <c r="D40" s="113"/>
      <c r="E40" s="113"/>
      <c r="F40" s="113"/>
      <c r="G40" s="113"/>
      <c r="H40" s="113"/>
      <c r="I40" s="64" t="s">
        <v>44</v>
      </c>
      <c r="J40" s="64" t="s">
        <v>45</v>
      </c>
    </row>
    <row r="41" spans="1:13" ht="13">
      <c r="A41" s="8" t="s">
        <v>5</v>
      </c>
      <c r="B41" s="104" t="s">
        <v>46</v>
      </c>
      <c r="C41" s="104"/>
      <c r="D41" s="104"/>
      <c r="E41" s="104"/>
      <c r="F41" s="104"/>
      <c r="G41" s="104"/>
      <c r="H41" s="104"/>
      <c r="I41" s="15">
        <v>0.2</v>
      </c>
      <c r="J41" s="16">
        <f>ROUND(($J$30+$J$37)*I41,2)</f>
        <v>351.19</v>
      </c>
    </row>
    <row r="42" spans="1:13" ht="13">
      <c r="A42" s="8" t="s">
        <v>7</v>
      </c>
      <c r="B42" s="104" t="s">
        <v>47</v>
      </c>
      <c r="C42" s="104"/>
      <c r="D42" s="104"/>
      <c r="E42" s="104"/>
      <c r="F42" s="104"/>
      <c r="G42" s="104"/>
      <c r="H42" s="104"/>
      <c r="I42" s="15">
        <v>2.5000000000000001E-2</v>
      </c>
      <c r="J42" s="16">
        <f t="shared" ref="J42:J48" si="0">ROUND(($J$30+$J$37)*I42,2)</f>
        <v>43.9</v>
      </c>
    </row>
    <row r="43" spans="1:13" ht="23.9" customHeight="1">
      <c r="A43" s="8" t="s">
        <v>9</v>
      </c>
      <c r="B43" s="109" t="s">
        <v>48</v>
      </c>
      <c r="C43" s="109"/>
      <c r="D43" s="109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17.559999999999999</v>
      </c>
    </row>
    <row r="44" spans="1:13" ht="13">
      <c r="A44" s="8" t="s">
        <v>12</v>
      </c>
      <c r="B44" s="104" t="s">
        <v>51</v>
      </c>
      <c r="C44" s="104"/>
      <c r="D44" s="104"/>
      <c r="E44" s="104"/>
      <c r="F44" s="104"/>
      <c r="G44" s="104"/>
      <c r="H44" s="104"/>
      <c r="I44" s="15">
        <v>1.4999999999999999E-2</v>
      </c>
      <c r="J44" s="16">
        <f t="shared" si="0"/>
        <v>26.34</v>
      </c>
    </row>
    <row r="45" spans="1:13" ht="13">
      <c r="A45" s="8" t="s">
        <v>29</v>
      </c>
      <c r="B45" s="104" t="s">
        <v>52</v>
      </c>
      <c r="C45" s="104"/>
      <c r="D45" s="104"/>
      <c r="E45" s="104"/>
      <c r="F45" s="104"/>
      <c r="G45" s="104"/>
      <c r="H45" s="104"/>
      <c r="I45" s="15">
        <v>0.01</v>
      </c>
      <c r="J45" s="16">
        <f t="shared" si="0"/>
        <v>17.559999999999999</v>
      </c>
    </row>
    <row r="46" spans="1:13" ht="13">
      <c r="A46" s="8" t="s">
        <v>53</v>
      </c>
      <c r="B46" s="104" t="s">
        <v>54</v>
      </c>
      <c r="C46" s="104"/>
      <c r="D46" s="104"/>
      <c r="E46" s="104"/>
      <c r="F46" s="104"/>
      <c r="G46" s="104"/>
      <c r="H46" s="104"/>
      <c r="I46" s="15">
        <v>6.0000000000000001E-3</v>
      </c>
      <c r="J46" s="16">
        <f t="shared" si="0"/>
        <v>10.54</v>
      </c>
    </row>
    <row r="47" spans="1:13" ht="13">
      <c r="A47" s="8" t="s">
        <v>55</v>
      </c>
      <c r="B47" s="104" t="s">
        <v>56</v>
      </c>
      <c r="C47" s="104"/>
      <c r="D47" s="104"/>
      <c r="E47" s="104"/>
      <c r="F47" s="104"/>
      <c r="G47" s="104"/>
      <c r="H47" s="104"/>
      <c r="I47" s="15">
        <v>2E-3</v>
      </c>
      <c r="J47" s="16">
        <f t="shared" si="0"/>
        <v>3.51</v>
      </c>
    </row>
    <row r="48" spans="1:13" ht="13">
      <c r="A48" s="8" t="s">
        <v>57</v>
      </c>
      <c r="B48" s="104" t="s">
        <v>58</v>
      </c>
      <c r="C48" s="104"/>
      <c r="D48" s="104"/>
      <c r="E48" s="104"/>
      <c r="F48" s="104"/>
      <c r="G48" s="104"/>
      <c r="H48" s="104"/>
      <c r="I48" s="15">
        <v>0.08</v>
      </c>
      <c r="J48" s="16">
        <f t="shared" si="0"/>
        <v>140.47999999999999</v>
      </c>
    </row>
    <row r="49" spans="1:12" ht="13">
      <c r="A49" s="105" t="s">
        <v>40</v>
      </c>
      <c r="B49" s="105"/>
      <c r="C49" s="105"/>
      <c r="D49" s="105"/>
      <c r="E49" s="105"/>
      <c r="F49" s="105"/>
      <c r="G49" s="105"/>
      <c r="H49" s="105"/>
      <c r="I49" s="21">
        <f>SUM(I41:I48)</f>
        <v>0.34800000000000003</v>
      </c>
      <c r="J49" s="14">
        <f>SUM(J41:J48)</f>
        <v>611.07999999999993</v>
      </c>
    </row>
    <row r="50" spans="1:12" ht="13">
      <c r="A50" s="101"/>
      <c r="B50" s="101"/>
      <c r="C50" s="101"/>
      <c r="D50" s="101"/>
      <c r="E50" s="101"/>
      <c r="F50" s="101"/>
      <c r="G50" s="101"/>
      <c r="H50" s="101"/>
      <c r="I50" s="101"/>
      <c r="J50" s="101"/>
    </row>
    <row r="51" spans="1:12" ht="16.149999999999999" customHeight="1">
      <c r="A51" s="112" t="s">
        <v>59</v>
      </c>
      <c r="B51" s="112"/>
      <c r="C51" s="112"/>
      <c r="D51" s="112"/>
      <c r="E51" s="112"/>
      <c r="F51" s="112"/>
      <c r="G51" s="112"/>
      <c r="H51" s="112"/>
      <c r="I51" s="112"/>
      <c r="J51" s="112"/>
      <c r="L51" s="53"/>
    </row>
    <row r="52" spans="1:12" ht="16.149999999999999" customHeight="1">
      <c r="A52" s="69" t="s">
        <v>60</v>
      </c>
      <c r="B52" s="113" t="s">
        <v>61</v>
      </c>
      <c r="C52" s="113"/>
      <c r="D52" s="113"/>
      <c r="E52" s="113"/>
      <c r="F52" s="113"/>
      <c r="G52" s="113"/>
      <c r="H52" s="113"/>
      <c r="I52" s="113"/>
      <c r="J52" s="68" t="s">
        <v>37</v>
      </c>
    </row>
    <row r="53" spans="1:12" ht="13">
      <c r="A53" s="8" t="s">
        <v>5</v>
      </c>
      <c r="B53" s="104" t="s">
        <v>62</v>
      </c>
      <c r="C53" s="104"/>
      <c r="D53" s="104"/>
      <c r="E53" s="104"/>
      <c r="F53" s="104"/>
      <c r="G53" s="104"/>
      <c r="H53" s="104"/>
      <c r="I53" s="104"/>
      <c r="J53" s="16">
        <f>IF(ROUND((I56*I54*I55)-(J24*0.06),2)&lt;0,0,ROUND((I56*I54*I55)-(J24*0.06),2))</f>
        <v>170.75</v>
      </c>
    </row>
    <row r="54" spans="1:12" ht="13">
      <c r="A54" s="8"/>
      <c r="B54" s="121" t="s">
        <v>63</v>
      </c>
      <c r="C54" s="121"/>
      <c r="D54" s="121"/>
      <c r="E54" s="121"/>
      <c r="F54" s="121"/>
      <c r="G54" s="121"/>
      <c r="H54" s="121"/>
      <c r="I54" s="22">
        <v>4.8</v>
      </c>
      <c r="J54" s="51" t="s">
        <v>64</v>
      </c>
    </row>
    <row r="55" spans="1:12" ht="13">
      <c r="A55" s="8"/>
      <c r="B55" s="121" t="s">
        <v>65</v>
      </c>
      <c r="C55" s="121"/>
      <c r="D55" s="121"/>
      <c r="E55" s="121"/>
      <c r="F55" s="121"/>
      <c r="G55" s="121"/>
      <c r="H55" s="121"/>
      <c r="I55" s="23">
        <v>2</v>
      </c>
      <c r="J55" s="51"/>
    </row>
    <row r="56" spans="1:12" ht="13">
      <c r="A56" s="8"/>
      <c r="B56" s="121" t="s">
        <v>66</v>
      </c>
      <c r="C56" s="121"/>
      <c r="D56" s="121"/>
      <c r="E56" s="121"/>
      <c r="F56" s="121"/>
      <c r="G56" s="121"/>
      <c r="H56" s="121"/>
      <c r="I56" s="24">
        <v>26</v>
      </c>
      <c r="J56" s="51"/>
    </row>
    <row r="57" spans="1:12" ht="13">
      <c r="A57" s="8" t="s">
        <v>7</v>
      </c>
      <c r="B57" s="104" t="s">
        <v>67</v>
      </c>
      <c r="C57" s="104"/>
      <c r="D57" s="104"/>
      <c r="E57" s="104"/>
      <c r="F57" s="104"/>
      <c r="G57" s="104"/>
      <c r="H57" s="104"/>
      <c r="I57" s="104"/>
      <c r="J57" s="16">
        <f>ROUND((I58*I59)-(I59*I58*I60),2)</f>
        <v>359.61</v>
      </c>
    </row>
    <row r="58" spans="1:12" ht="13">
      <c r="A58" s="8"/>
      <c r="B58" s="121" t="s">
        <v>68</v>
      </c>
      <c r="C58" s="121"/>
      <c r="D58" s="121"/>
      <c r="E58" s="121"/>
      <c r="F58" s="121"/>
      <c r="G58" s="121"/>
      <c r="H58" s="121"/>
      <c r="I58" s="22">
        <v>20.18</v>
      </c>
      <c r="J58" s="51" t="s">
        <v>64</v>
      </c>
    </row>
    <row r="59" spans="1:12" ht="13">
      <c r="A59" s="25"/>
      <c r="B59" s="121" t="s">
        <v>69</v>
      </c>
      <c r="C59" s="121"/>
      <c r="D59" s="121"/>
      <c r="E59" s="121"/>
      <c r="F59" s="121"/>
      <c r="G59" s="121"/>
      <c r="H59" s="121"/>
      <c r="I59" s="26">
        <v>22</v>
      </c>
      <c r="J59" s="51"/>
    </row>
    <row r="60" spans="1:12" ht="13">
      <c r="A60" s="25"/>
      <c r="B60" s="121" t="s">
        <v>132</v>
      </c>
      <c r="C60" s="121"/>
      <c r="D60" s="121"/>
      <c r="E60" s="121"/>
      <c r="F60" s="121"/>
      <c r="G60" s="121"/>
      <c r="H60" s="121"/>
      <c r="I60" s="52">
        <v>0.19</v>
      </c>
      <c r="J60" s="51"/>
    </row>
    <row r="61" spans="1:12" ht="27.65" customHeight="1">
      <c r="A61" s="8"/>
      <c r="B61" s="121" t="s">
        <v>208</v>
      </c>
      <c r="C61" s="121"/>
      <c r="D61" s="121"/>
      <c r="E61" s="121"/>
      <c r="F61" s="121"/>
      <c r="G61" s="121"/>
      <c r="H61" s="121"/>
      <c r="I61" s="22">
        <f>I58/2</f>
        <v>10.09</v>
      </c>
      <c r="J61" s="16">
        <f>ROUND((I61*I62)-(I61*I62*I60),2)</f>
        <v>32.69</v>
      </c>
    </row>
    <row r="62" spans="1:12" ht="27.65" customHeight="1">
      <c r="A62" s="25"/>
      <c r="B62" s="121" t="s">
        <v>69</v>
      </c>
      <c r="C62" s="121"/>
      <c r="D62" s="121"/>
      <c r="E62" s="121"/>
      <c r="F62" s="121"/>
      <c r="G62" s="121"/>
      <c r="H62" s="121"/>
      <c r="I62" s="26">
        <v>4</v>
      </c>
      <c r="J62" s="51"/>
      <c r="L62" s="50"/>
    </row>
    <row r="63" spans="1:12" ht="27.65" customHeight="1">
      <c r="A63" s="8" t="s">
        <v>12</v>
      </c>
      <c r="B63" s="122" t="s">
        <v>186</v>
      </c>
      <c r="C63" s="123"/>
      <c r="D63" s="123"/>
      <c r="E63" s="123"/>
      <c r="F63" s="123"/>
      <c r="G63" s="123"/>
      <c r="H63" s="123"/>
      <c r="I63" s="124"/>
      <c r="J63" s="27">
        <v>17.32</v>
      </c>
      <c r="L63" s="50"/>
    </row>
    <row r="64" spans="1:12" ht="13">
      <c r="A64" s="125" t="s">
        <v>32</v>
      </c>
      <c r="B64" s="126"/>
      <c r="C64" s="126"/>
      <c r="D64" s="126"/>
      <c r="E64" s="126"/>
      <c r="F64" s="126"/>
      <c r="G64" s="126"/>
      <c r="H64" s="126"/>
      <c r="I64" s="127"/>
      <c r="J64" s="14">
        <f>SUM(J53:J63)</f>
        <v>580.37</v>
      </c>
      <c r="L64" s="50"/>
    </row>
    <row r="65" spans="1:12" ht="13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L65" s="50"/>
    </row>
    <row r="66" spans="1:12" ht="16.149999999999999" customHeight="1">
      <c r="A66" s="112" t="s">
        <v>71</v>
      </c>
      <c r="B66" s="112"/>
      <c r="C66" s="112"/>
      <c r="D66" s="112"/>
      <c r="E66" s="112"/>
      <c r="F66" s="112"/>
      <c r="G66" s="112"/>
      <c r="H66" s="112"/>
      <c r="I66" s="112"/>
      <c r="J66" s="112"/>
      <c r="L66" s="50"/>
    </row>
    <row r="67" spans="1:12" ht="16.149999999999999" customHeight="1">
      <c r="A67" s="64">
        <v>2</v>
      </c>
      <c r="B67" s="115" t="s">
        <v>72</v>
      </c>
      <c r="C67" s="115"/>
      <c r="D67" s="115"/>
      <c r="E67" s="115"/>
      <c r="F67" s="115"/>
      <c r="G67" s="115"/>
      <c r="H67" s="115"/>
      <c r="I67" s="115"/>
      <c r="J67" s="64" t="s">
        <v>37</v>
      </c>
      <c r="L67" s="50"/>
    </row>
    <row r="68" spans="1:12" ht="14.65" customHeight="1">
      <c r="A68" s="1" t="s">
        <v>35</v>
      </c>
      <c r="B68" s="1"/>
      <c r="C68" s="109" t="s">
        <v>73</v>
      </c>
      <c r="D68" s="109"/>
      <c r="E68" s="109"/>
      <c r="F68" s="109"/>
      <c r="G68" s="109"/>
      <c r="H68" s="109"/>
      <c r="I68" s="109"/>
      <c r="J68" s="28">
        <f>J37</f>
        <v>179.06</v>
      </c>
      <c r="L68" s="50"/>
    </row>
    <row r="69" spans="1:12" ht="14.65" customHeight="1">
      <c r="A69" s="1" t="s">
        <v>42</v>
      </c>
      <c r="B69" s="1"/>
      <c r="C69" s="109" t="s">
        <v>43</v>
      </c>
      <c r="D69" s="109"/>
      <c r="E69" s="109"/>
      <c r="F69" s="109"/>
      <c r="G69" s="109"/>
      <c r="H69" s="109"/>
      <c r="I69" s="109"/>
      <c r="J69" s="28">
        <f>J49</f>
        <v>611.07999999999993</v>
      </c>
      <c r="L69" s="50"/>
    </row>
    <row r="70" spans="1:12" ht="14.65" customHeight="1">
      <c r="A70" s="1" t="s">
        <v>60</v>
      </c>
      <c r="B70" s="1"/>
      <c r="C70" s="109" t="s">
        <v>61</v>
      </c>
      <c r="D70" s="109"/>
      <c r="E70" s="109"/>
      <c r="F70" s="109"/>
      <c r="G70" s="109"/>
      <c r="H70" s="109"/>
      <c r="I70" s="109"/>
      <c r="J70" s="28">
        <f>J64</f>
        <v>580.37</v>
      </c>
      <c r="L70" s="50"/>
    </row>
    <row r="71" spans="1:12" ht="14.65" customHeight="1">
      <c r="A71" s="116" t="s">
        <v>40</v>
      </c>
      <c r="B71" s="116"/>
      <c r="C71" s="116"/>
      <c r="D71" s="116"/>
      <c r="E71" s="116"/>
      <c r="F71" s="116"/>
      <c r="G71" s="116"/>
      <c r="H71" s="116"/>
      <c r="I71" s="116"/>
      <c r="J71" s="29">
        <f>SUM(J68+J69+J70)</f>
        <v>1370.5099999999998</v>
      </c>
    </row>
    <row r="72" spans="1:12" ht="13">
      <c r="A72" s="101"/>
      <c r="B72" s="101"/>
      <c r="C72" s="101"/>
      <c r="D72" s="101"/>
      <c r="E72" s="101"/>
      <c r="F72" s="101"/>
      <c r="G72" s="101"/>
      <c r="H72" s="101"/>
      <c r="I72" s="101"/>
      <c r="J72" s="101"/>
    </row>
    <row r="73" spans="1:12" ht="16.149999999999999" customHeight="1">
      <c r="A73" s="112" t="s">
        <v>74</v>
      </c>
      <c r="B73" s="112"/>
      <c r="C73" s="112"/>
      <c r="D73" s="112"/>
      <c r="E73" s="112"/>
      <c r="F73" s="112"/>
      <c r="G73" s="112"/>
      <c r="H73" s="112"/>
      <c r="I73" s="112"/>
      <c r="J73" s="112"/>
    </row>
    <row r="74" spans="1:12" ht="16.149999999999999" customHeight="1">
      <c r="A74" s="63">
        <v>3</v>
      </c>
      <c r="B74" s="115" t="s">
        <v>75</v>
      </c>
      <c r="C74" s="115"/>
      <c r="D74" s="115"/>
      <c r="E74" s="115"/>
      <c r="F74" s="115"/>
      <c r="G74" s="115"/>
      <c r="H74" s="115"/>
      <c r="I74" s="115"/>
      <c r="J74" s="63" t="s">
        <v>76</v>
      </c>
    </row>
    <row r="75" spans="1:12" ht="46.5" customHeight="1">
      <c r="A75" s="8" t="s">
        <v>5</v>
      </c>
      <c r="B75" s="109" t="s">
        <v>135</v>
      </c>
      <c r="C75" s="109"/>
      <c r="D75" s="109"/>
      <c r="E75" s="109"/>
      <c r="F75" s="109"/>
      <c r="G75" s="109"/>
      <c r="H75" s="109"/>
      <c r="I75" s="109"/>
      <c r="J75" s="16">
        <f>ROUND(((J30)+(J35)+(J30/12)+(J36))/12*0.01,2)</f>
        <v>1.57</v>
      </c>
      <c r="L75" s="50"/>
    </row>
    <row r="76" spans="1:12" ht="14.65" customHeight="1">
      <c r="A76" s="8" t="s">
        <v>7</v>
      </c>
      <c r="B76" s="109" t="s">
        <v>77</v>
      </c>
      <c r="C76" s="109"/>
      <c r="D76" s="109"/>
      <c r="E76" s="109"/>
      <c r="F76" s="109"/>
      <c r="G76" s="109"/>
      <c r="H76" s="109"/>
      <c r="I76" s="109"/>
      <c r="J76" s="16">
        <f>ROUND($J$75*I48,2)</f>
        <v>0.13</v>
      </c>
    </row>
    <row r="77" spans="1:12" ht="36.25" customHeight="1">
      <c r="A77" s="8" t="s">
        <v>9</v>
      </c>
      <c r="B77" s="109" t="s">
        <v>136</v>
      </c>
      <c r="C77" s="109"/>
      <c r="D77" s="109"/>
      <c r="E77" s="109"/>
      <c r="F77" s="109"/>
      <c r="G77" s="109"/>
      <c r="H77" s="109"/>
      <c r="I77" s="30">
        <v>2.3999999999999998E-3</v>
      </c>
      <c r="J77" s="16">
        <f>ROUND($J$30*I77,2)</f>
        <v>3.78</v>
      </c>
    </row>
    <row r="78" spans="1:12" ht="34.5" customHeight="1">
      <c r="A78" s="8" t="s">
        <v>12</v>
      </c>
      <c r="B78" s="109" t="s">
        <v>138</v>
      </c>
      <c r="C78" s="109"/>
      <c r="D78" s="109"/>
      <c r="E78" s="109"/>
      <c r="F78" s="109"/>
      <c r="G78" s="109"/>
      <c r="H78" s="109"/>
      <c r="I78" s="109"/>
      <c r="J78" s="16">
        <f>J30/30*7/12*0.05</f>
        <v>1.5331049999999999</v>
      </c>
    </row>
    <row r="79" spans="1:12" ht="14.65" customHeight="1">
      <c r="A79" s="8" t="s">
        <v>29</v>
      </c>
      <c r="B79" s="109" t="s">
        <v>78</v>
      </c>
      <c r="C79" s="109"/>
      <c r="D79" s="109"/>
      <c r="E79" s="109"/>
      <c r="F79" s="109"/>
      <c r="G79" s="109"/>
      <c r="H79" s="109"/>
      <c r="I79" s="109"/>
      <c r="J79" s="16">
        <f>ROUND($I$49*J78,2)</f>
        <v>0.53</v>
      </c>
    </row>
    <row r="80" spans="1:12" ht="36.25" customHeight="1">
      <c r="A80" s="8" t="s">
        <v>53</v>
      </c>
      <c r="B80" s="109" t="s">
        <v>137</v>
      </c>
      <c r="C80" s="109"/>
      <c r="D80" s="109"/>
      <c r="E80" s="109"/>
      <c r="F80" s="109"/>
      <c r="G80" s="109"/>
      <c r="H80" s="109"/>
      <c r="I80" s="30">
        <v>3.7600000000000001E-2</v>
      </c>
      <c r="J80" s="16">
        <f>ROUND($J$30*I80,2)</f>
        <v>59.29</v>
      </c>
    </row>
    <row r="81" spans="1:10" ht="13">
      <c r="A81" s="105" t="s">
        <v>40</v>
      </c>
      <c r="B81" s="105"/>
      <c r="C81" s="105"/>
      <c r="D81" s="105"/>
      <c r="E81" s="105"/>
      <c r="F81" s="105"/>
      <c r="G81" s="105"/>
      <c r="H81" s="105"/>
      <c r="I81" s="105"/>
      <c r="J81" s="14">
        <f>SUM(J75:J80)</f>
        <v>66.833105000000003</v>
      </c>
    </row>
    <row r="82" spans="1:10" ht="13">
      <c r="A82" s="101"/>
      <c r="B82" s="101"/>
      <c r="C82" s="101"/>
      <c r="D82" s="101"/>
      <c r="E82" s="101"/>
      <c r="F82" s="101"/>
      <c r="G82" s="101"/>
      <c r="H82" s="101"/>
      <c r="I82" s="101"/>
      <c r="J82" s="101"/>
    </row>
    <row r="83" spans="1:10" ht="16.149999999999999" customHeight="1">
      <c r="A83" s="112" t="s">
        <v>79</v>
      </c>
      <c r="B83" s="112"/>
      <c r="C83" s="112"/>
      <c r="D83" s="112"/>
      <c r="E83" s="112"/>
      <c r="F83" s="112"/>
      <c r="G83" s="112"/>
      <c r="H83" s="112"/>
      <c r="I83" s="112"/>
      <c r="J83" s="112"/>
    </row>
    <row r="84" spans="1:10" ht="15" customHeight="1">
      <c r="A84" s="119" t="s">
        <v>80</v>
      </c>
      <c r="B84" s="119"/>
      <c r="C84" s="119"/>
      <c r="D84" s="119"/>
      <c r="E84" s="119"/>
      <c r="F84" s="119"/>
      <c r="G84" s="119"/>
      <c r="H84" s="119"/>
      <c r="I84" s="119"/>
      <c r="J84" s="31">
        <f>J87+J30+J35+J36</f>
        <v>1899.068</v>
      </c>
    </row>
    <row r="85" spans="1:10" ht="14.65" customHeight="1">
      <c r="A85" s="120"/>
      <c r="B85" s="120"/>
      <c r="C85" s="120"/>
      <c r="D85" s="120"/>
      <c r="E85" s="120"/>
      <c r="F85" s="120"/>
      <c r="G85" s="120"/>
      <c r="H85" s="120"/>
      <c r="I85" s="120"/>
      <c r="J85" s="120"/>
    </row>
    <row r="86" spans="1:10" ht="14">
      <c r="A86" s="32" t="s">
        <v>81</v>
      </c>
      <c r="B86" s="113" t="s">
        <v>82</v>
      </c>
      <c r="C86" s="113"/>
      <c r="D86" s="113"/>
      <c r="E86" s="113"/>
      <c r="F86" s="113"/>
      <c r="G86" s="113"/>
      <c r="H86" s="113"/>
      <c r="I86" s="113"/>
      <c r="J86" s="32" t="s">
        <v>37</v>
      </c>
    </row>
    <row r="87" spans="1:10" ht="12.75" customHeight="1">
      <c r="A87" s="12" t="s">
        <v>5</v>
      </c>
      <c r="B87" s="109" t="s">
        <v>83</v>
      </c>
      <c r="C87" s="109"/>
      <c r="D87" s="109"/>
      <c r="E87" s="109"/>
      <c r="F87" s="109"/>
      <c r="G87" s="109"/>
      <c r="H87" s="109"/>
      <c r="I87" s="33">
        <f>12.1%-I36</f>
        <v>9.0749999999999997E-2</v>
      </c>
      <c r="J87" s="16">
        <f>ROUND(($J$30*I87),2)</f>
        <v>143.1</v>
      </c>
    </row>
    <row r="88" spans="1:10" ht="13">
      <c r="A88" s="12" t="s">
        <v>7</v>
      </c>
      <c r="B88" s="104" t="s">
        <v>131</v>
      </c>
      <c r="C88" s="104"/>
      <c r="D88" s="104"/>
      <c r="E88" s="104"/>
      <c r="F88" s="104"/>
      <c r="G88" s="104"/>
      <c r="H88" s="104"/>
      <c r="I88" s="104"/>
      <c r="J88" s="34">
        <f>J84/30*0.1/12</f>
        <v>0.52751888888888898</v>
      </c>
    </row>
    <row r="89" spans="1:10" ht="13">
      <c r="A89" s="12" t="s">
        <v>9</v>
      </c>
      <c r="B89" s="104" t="s">
        <v>84</v>
      </c>
      <c r="C89" s="104"/>
      <c r="D89" s="104"/>
      <c r="E89" s="104"/>
      <c r="F89" s="104"/>
      <c r="G89" s="104"/>
      <c r="H89" s="104"/>
      <c r="I89" s="104"/>
      <c r="J89" s="34">
        <f>J84/30*5/12*1.5%</f>
        <v>0.39563916666666665</v>
      </c>
    </row>
    <row r="90" spans="1:10" ht="13">
      <c r="A90" s="12" t="s">
        <v>12</v>
      </c>
      <c r="B90" s="104" t="s">
        <v>85</v>
      </c>
      <c r="C90" s="104"/>
      <c r="D90" s="104"/>
      <c r="E90" s="104"/>
      <c r="F90" s="104"/>
      <c r="G90" s="104"/>
      <c r="H90" s="104"/>
      <c r="I90" s="104"/>
      <c r="J90" s="13">
        <f>J84/30*15/12*0.78%</f>
        <v>0.61719709999999994</v>
      </c>
    </row>
    <row r="91" spans="1:10" ht="13">
      <c r="A91" s="12" t="s">
        <v>29</v>
      </c>
      <c r="B91" s="104" t="s">
        <v>86</v>
      </c>
      <c r="C91" s="104"/>
      <c r="D91" s="104"/>
      <c r="E91" s="104"/>
      <c r="F91" s="104"/>
      <c r="G91" s="104"/>
      <c r="H91" s="104"/>
      <c r="I91" s="104"/>
      <c r="J91" s="16">
        <f>(J30+J36)/12*4/12*1%</f>
        <v>0.45127999999999996</v>
      </c>
    </row>
    <row r="92" spans="1:10" ht="13">
      <c r="A92" s="35" t="s">
        <v>53</v>
      </c>
      <c r="B92" s="118" t="s">
        <v>87</v>
      </c>
      <c r="C92" s="118"/>
      <c r="D92" s="118"/>
      <c r="E92" s="118"/>
      <c r="F92" s="118"/>
      <c r="G92" s="118"/>
      <c r="H92" s="118"/>
      <c r="I92" s="118"/>
      <c r="J92" s="13">
        <f>J84/30*0.15/12</f>
        <v>0.79127833333333342</v>
      </c>
    </row>
    <row r="93" spans="1:10" ht="13">
      <c r="A93" s="105" t="s">
        <v>40</v>
      </c>
      <c r="B93" s="105"/>
      <c r="C93" s="105"/>
      <c r="D93" s="105"/>
      <c r="E93" s="105"/>
      <c r="F93" s="105"/>
      <c r="G93" s="105"/>
      <c r="H93" s="105"/>
      <c r="I93" s="105"/>
      <c r="J93" s="36">
        <f>SUM(J87:J92)</f>
        <v>145.88291348888887</v>
      </c>
    </row>
    <row r="94" spans="1:10" ht="14.65" customHeight="1">
      <c r="A94" s="12"/>
      <c r="B94" s="104"/>
      <c r="C94" s="104"/>
      <c r="D94" s="104"/>
      <c r="E94" s="104"/>
      <c r="F94" s="104"/>
      <c r="G94" s="104"/>
      <c r="H94" s="104"/>
      <c r="I94" s="104"/>
      <c r="J94" s="13"/>
    </row>
    <row r="95" spans="1:10" ht="13">
      <c r="A95" s="105" t="s">
        <v>40</v>
      </c>
      <c r="B95" s="105"/>
      <c r="C95" s="105"/>
      <c r="D95" s="105"/>
      <c r="E95" s="105"/>
      <c r="F95" s="105"/>
      <c r="G95" s="105"/>
      <c r="H95" s="105"/>
      <c r="I95" s="105"/>
      <c r="J95" s="14">
        <f>SUM(J93:J94)</f>
        <v>145.88291348888887</v>
      </c>
    </row>
    <row r="96" spans="1:10" ht="16.149999999999999" customHeight="1">
      <c r="A96" s="112" t="s">
        <v>88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14">
      <c r="A97" s="63" t="s">
        <v>89</v>
      </c>
      <c r="B97" s="113" t="s">
        <v>90</v>
      </c>
      <c r="C97" s="113"/>
      <c r="D97" s="113"/>
      <c r="E97" s="113"/>
      <c r="F97" s="113"/>
      <c r="G97" s="113"/>
      <c r="H97" s="113"/>
      <c r="I97" s="113"/>
      <c r="J97" s="37" t="s">
        <v>37</v>
      </c>
    </row>
    <row r="98" spans="1:10" ht="13">
      <c r="A98" s="8" t="s">
        <v>5</v>
      </c>
      <c r="B98" s="104" t="s">
        <v>91</v>
      </c>
      <c r="C98" s="104"/>
      <c r="D98" s="104"/>
      <c r="E98" s="104"/>
      <c r="F98" s="104"/>
      <c r="G98" s="104"/>
      <c r="H98" s="104"/>
      <c r="I98" s="104"/>
      <c r="J98" s="16">
        <v>0</v>
      </c>
    </row>
    <row r="99" spans="1:10" ht="13">
      <c r="A99" s="117" t="s">
        <v>40</v>
      </c>
      <c r="B99" s="117"/>
      <c r="C99" s="117"/>
      <c r="D99" s="117"/>
      <c r="E99" s="117"/>
      <c r="F99" s="117"/>
      <c r="G99" s="117"/>
      <c r="H99" s="117"/>
      <c r="I99" s="117"/>
      <c r="J99" s="16">
        <v>0</v>
      </c>
    </row>
    <row r="100" spans="1:10" ht="13">
      <c r="A100" s="12"/>
      <c r="B100" s="104"/>
      <c r="C100" s="104"/>
      <c r="D100" s="104"/>
      <c r="E100" s="104"/>
      <c r="F100" s="104"/>
      <c r="G100" s="104"/>
      <c r="H100" s="104"/>
      <c r="I100" s="104"/>
      <c r="J100" s="13"/>
    </row>
    <row r="101" spans="1:10" ht="13">
      <c r="A101" s="105" t="s">
        <v>40</v>
      </c>
      <c r="B101" s="105"/>
      <c r="C101" s="105"/>
      <c r="D101" s="105"/>
      <c r="E101" s="105"/>
      <c r="F101" s="105"/>
      <c r="G101" s="105"/>
      <c r="H101" s="105"/>
      <c r="I101" s="105"/>
      <c r="J101" s="14">
        <f>SUM(J99:J100)</f>
        <v>0</v>
      </c>
    </row>
    <row r="102" spans="1:10" ht="13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</row>
    <row r="103" spans="1:10" ht="16.149999999999999" customHeight="1">
      <c r="A103" s="112" t="s">
        <v>92</v>
      </c>
      <c r="B103" s="112"/>
      <c r="C103" s="112"/>
      <c r="D103" s="112"/>
      <c r="E103" s="112"/>
      <c r="F103" s="112"/>
      <c r="G103" s="112"/>
      <c r="H103" s="112"/>
      <c r="I103" s="112"/>
      <c r="J103" s="112"/>
    </row>
    <row r="104" spans="1:10" ht="16.149999999999999" customHeight="1">
      <c r="A104" s="64">
        <v>4</v>
      </c>
      <c r="B104" s="115" t="s">
        <v>93</v>
      </c>
      <c r="C104" s="115"/>
      <c r="D104" s="115"/>
      <c r="E104" s="115"/>
      <c r="F104" s="115"/>
      <c r="G104" s="115"/>
      <c r="H104" s="115"/>
      <c r="I104" s="115"/>
      <c r="J104" s="37" t="s">
        <v>37</v>
      </c>
    </row>
    <row r="105" spans="1:10" ht="14.65" customHeight="1">
      <c r="A105" s="1" t="s">
        <v>81</v>
      </c>
      <c r="B105" s="109" t="s">
        <v>94</v>
      </c>
      <c r="C105" s="109"/>
      <c r="D105" s="109"/>
      <c r="E105" s="109"/>
      <c r="F105" s="109"/>
      <c r="G105" s="109"/>
      <c r="H105" s="109"/>
      <c r="I105" s="109"/>
      <c r="J105" s="16">
        <f>J95</f>
        <v>145.88291348888887</v>
      </c>
    </row>
    <row r="106" spans="1:10" ht="14.65" customHeight="1">
      <c r="A106" s="1" t="s">
        <v>95</v>
      </c>
      <c r="B106" s="109" t="s">
        <v>96</v>
      </c>
      <c r="C106" s="109"/>
      <c r="D106" s="109"/>
      <c r="E106" s="109"/>
      <c r="F106" s="109"/>
      <c r="G106" s="109"/>
      <c r="H106" s="109"/>
      <c r="I106" s="109"/>
      <c r="J106" s="16">
        <f>J101</f>
        <v>0</v>
      </c>
    </row>
    <row r="107" spans="1:10" ht="14.65" customHeight="1">
      <c r="A107" s="116" t="s">
        <v>40</v>
      </c>
      <c r="B107" s="116"/>
      <c r="C107" s="116"/>
      <c r="D107" s="116"/>
      <c r="E107" s="116"/>
      <c r="F107" s="116"/>
      <c r="G107" s="116"/>
      <c r="H107" s="116"/>
      <c r="I107" s="116"/>
      <c r="J107" s="14">
        <f>SUM(J105+J106)</f>
        <v>145.88291348888887</v>
      </c>
    </row>
    <row r="108" spans="1:10" ht="13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</row>
    <row r="109" spans="1:10" ht="16.149999999999999" customHeight="1">
      <c r="A109" s="112" t="s">
        <v>97</v>
      </c>
      <c r="B109" s="112"/>
      <c r="C109" s="112"/>
      <c r="D109" s="112"/>
      <c r="E109" s="112"/>
      <c r="F109" s="112"/>
      <c r="G109" s="112"/>
      <c r="H109" s="112"/>
      <c r="I109" s="112"/>
      <c r="J109" s="112"/>
    </row>
    <row r="110" spans="1:10" ht="16.149999999999999" customHeight="1">
      <c r="A110" s="63">
        <v>5</v>
      </c>
      <c r="B110" s="113" t="s">
        <v>98</v>
      </c>
      <c r="C110" s="113"/>
      <c r="D110" s="113"/>
      <c r="E110" s="113"/>
      <c r="F110" s="113"/>
      <c r="G110" s="113"/>
      <c r="H110" s="113"/>
      <c r="I110" s="113"/>
      <c r="J110" s="63" t="s">
        <v>37</v>
      </c>
    </row>
    <row r="111" spans="1:10" ht="13">
      <c r="A111" s="8" t="s">
        <v>5</v>
      </c>
      <c r="B111" s="104" t="s">
        <v>185</v>
      </c>
      <c r="C111" s="104"/>
      <c r="D111" s="104"/>
      <c r="E111" s="104"/>
      <c r="F111" s="104"/>
      <c r="G111" s="104"/>
      <c r="H111" s="104"/>
      <c r="I111" s="104"/>
      <c r="J111" s="16">
        <f>Descritivo!E48</f>
        <v>91.369065656565652</v>
      </c>
    </row>
    <row r="112" spans="1:10" ht="13">
      <c r="A112" s="8" t="s">
        <v>7</v>
      </c>
      <c r="B112" s="104" t="s">
        <v>99</v>
      </c>
      <c r="C112" s="104"/>
      <c r="D112" s="104"/>
      <c r="E112" s="104"/>
      <c r="F112" s="104"/>
      <c r="G112" s="104"/>
      <c r="H112" s="104"/>
      <c r="I112" s="104"/>
      <c r="J112" s="27">
        <f>Descritivo!D93</f>
        <v>116.16919191919192</v>
      </c>
    </row>
    <row r="113" spans="1:10" ht="13">
      <c r="A113" s="8" t="s">
        <v>9</v>
      </c>
      <c r="B113" s="104" t="s">
        <v>139</v>
      </c>
      <c r="C113" s="104"/>
      <c r="D113" s="104"/>
      <c r="E113" s="104"/>
      <c r="F113" s="104"/>
      <c r="G113" s="104"/>
      <c r="H113" s="104"/>
      <c r="I113" s="104"/>
      <c r="J113" s="27">
        <f>Descritivo!C101</f>
        <v>36.363636363636367</v>
      </c>
    </row>
    <row r="114" spans="1:10" ht="13">
      <c r="A114" s="8" t="s">
        <v>12</v>
      </c>
      <c r="B114" s="104" t="s">
        <v>100</v>
      </c>
      <c r="C114" s="104"/>
      <c r="D114" s="104"/>
      <c r="E114" s="104"/>
      <c r="F114" s="104"/>
      <c r="G114" s="104"/>
      <c r="H114" s="104"/>
      <c r="I114" s="104"/>
      <c r="J114" s="27"/>
    </row>
    <row r="115" spans="1:10" ht="13">
      <c r="A115" s="105" t="s">
        <v>32</v>
      </c>
      <c r="B115" s="105"/>
      <c r="C115" s="105"/>
      <c r="D115" s="105"/>
      <c r="E115" s="105"/>
      <c r="F115" s="105"/>
      <c r="G115" s="105"/>
      <c r="H115" s="105"/>
      <c r="I115" s="105"/>
      <c r="J115" s="38">
        <f>SUM(J111:J114)</f>
        <v>243.90189393939394</v>
      </c>
    </row>
    <row r="116" spans="1:10" ht="13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</row>
    <row r="117" spans="1:10" ht="16.149999999999999" customHeight="1">
      <c r="A117" s="112" t="s">
        <v>101</v>
      </c>
      <c r="B117" s="112"/>
      <c r="C117" s="112"/>
      <c r="D117" s="112"/>
      <c r="E117" s="112"/>
      <c r="F117" s="112"/>
      <c r="G117" s="112"/>
      <c r="H117" s="112"/>
      <c r="I117" s="112"/>
      <c r="J117" s="112"/>
    </row>
    <row r="118" spans="1:10" ht="28">
      <c r="A118" s="63">
        <v>6</v>
      </c>
      <c r="B118" s="113" t="s">
        <v>102</v>
      </c>
      <c r="C118" s="113"/>
      <c r="D118" s="113"/>
      <c r="E118" s="113"/>
      <c r="F118" s="113"/>
      <c r="G118" s="113"/>
      <c r="H118" s="113"/>
      <c r="I118" s="64" t="s">
        <v>44</v>
      </c>
      <c r="J118" s="39" t="s">
        <v>103</v>
      </c>
    </row>
    <row r="119" spans="1:10" ht="12.75" customHeight="1">
      <c r="A119" s="111" t="s">
        <v>104</v>
      </c>
      <c r="B119" s="111"/>
      <c r="C119" s="111"/>
      <c r="D119" s="111"/>
      <c r="E119" s="111"/>
      <c r="F119" s="111"/>
      <c r="G119" s="111"/>
      <c r="H119" s="111"/>
      <c r="I119" s="40" t="s">
        <v>64</v>
      </c>
      <c r="J119" s="41">
        <f>SUM(J30+J71+J81+J107+J115)</f>
        <v>3404.0359124282827</v>
      </c>
    </row>
    <row r="120" spans="1:10" ht="15.5">
      <c r="A120" s="42" t="s">
        <v>5</v>
      </c>
      <c r="B120" s="110" t="s">
        <v>105</v>
      </c>
      <c r="C120" s="110"/>
      <c r="D120" s="110"/>
      <c r="E120" s="110"/>
      <c r="F120" s="110"/>
      <c r="G120" s="110"/>
      <c r="H120" s="110"/>
      <c r="I120" s="15">
        <v>0.1091</v>
      </c>
      <c r="J120" s="16">
        <f>ROUND(I120*J119,2)</f>
        <v>371.38</v>
      </c>
    </row>
    <row r="121" spans="1:10" ht="12.75" customHeight="1">
      <c r="A121" s="111" t="s">
        <v>106</v>
      </c>
      <c r="B121" s="111"/>
      <c r="C121" s="111"/>
      <c r="D121" s="111"/>
      <c r="E121" s="111"/>
      <c r="F121" s="111"/>
      <c r="G121" s="111"/>
      <c r="H121" s="111"/>
      <c r="I121" s="43" t="s">
        <v>64</v>
      </c>
      <c r="J121" s="41">
        <f>SUM(J30+J71+J81+J107+J115+J120)</f>
        <v>3775.4159124282828</v>
      </c>
    </row>
    <row r="122" spans="1:10" ht="15.5">
      <c r="A122" s="42" t="s">
        <v>7</v>
      </c>
      <c r="B122" s="110" t="s">
        <v>107</v>
      </c>
      <c r="C122" s="110"/>
      <c r="D122" s="110"/>
      <c r="E122" s="110"/>
      <c r="F122" s="110"/>
      <c r="G122" s="110"/>
      <c r="H122" s="110"/>
      <c r="I122" s="20">
        <v>0.15109700000000001</v>
      </c>
      <c r="J122" s="16">
        <f>ROUND(I122*J121,2)</f>
        <v>570.45000000000005</v>
      </c>
    </row>
    <row r="123" spans="1:10" ht="12.75" customHeight="1">
      <c r="A123" s="111" t="s">
        <v>108</v>
      </c>
      <c r="B123" s="111"/>
      <c r="C123" s="111"/>
      <c r="D123" s="111"/>
      <c r="E123" s="111"/>
      <c r="F123" s="111"/>
      <c r="G123" s="111"/>
      <c r="H123" s="111"/>
      <c r="I123" s="43" t="s">
        <v>64</v>
      </c>
      <c r="J123" s="41">
        <f>SUM(J30+J71+J81+J107+J115+J120+J122)</f>
        <v>4345.8659124282831</v>
      </c>
    </row>
    <row r="124" spans="1:10" ht="15.5">
      <c r="A124" s="42" t="s">
        <v>9</v>
      </c>
      <c r="B124" s="110" t="s">
        <v>109</v>
      </c>
      <c r="C124" s="110"/>
      <c r="D124" s="110"/>
      <c r="E124" s="110"/>
      <c r="F124" s="110"/>
      <c r="G124" s="110"/>
      <c r="H124" s="110"/>
      <c r="I124" s="9" t="s">
        <v>64</v>
      </c>
      <c r="J124" s="51" t="s">
        <v>64</v>
      </c>
    </row>
    <row r="125" spans="1:10" ht="13">
      <c r="A125" s="8"/>
      <c r="B125" s="104" t="s">
        <v>110</v>
      </c>
      <c r="C125" s="104"/>
      <c r="D125" s="104"/>
      <c r="E125" s="104"/>
      <c r="F125" s="104"/>
      <c r="G125" s="104"/>
      <c r="H125" s="104"/>
      <c r="I125" s="9" t="s">
        <v>64</v>
      </c>
      <c r="J125" s="51" t="s">
        <v>64</v>
      </c>
    </row>
    <row r="126" spans="1:10" ht="13">
      <c r="A126" s="8"/>
      <c r="B126" s="104" t="s">
        <v>111</v>
      </c>
      <c r="C126" s="104"/>
      <c r="D126" s="104"/>
      <c r="E126" s="104"/>
      <c r="F126" s="104"/>
      <c r="G126" s="104"/>
      <c r="H126" s="104"/>
      <c r="I126" s="44">
        <v>0.03</v>
      </c>
      <c r="J126" s="16">
        <f>ROUND(($J$123/(1-$I$135))*I126,2)</f>
        <v>142.72</v>
      </c>
    </row>
    <row r="127" spans="1:10" ht="13">
      <c r="A127" s="8"/>
      <c r="B127" s="104" t="s">
        <v>112</v>
      </c>
      <c r="C127" s="104"/>
      <c r="D127" s="104"/>
      <c r="E127" s="104"/>
      <c r="F127" s="104"/>
      <c r="G127" s="104"/>
      <c r="H127" s="104"/>
      <c r="I127" s="44">
        <v>6.4999999999999997E-3</v>
      </c>
      <c r="J127" s="16">
        <f>ROUND(($J$123/(1-$I$135))*I127,2)</f>
        <v>30.92</v>
      </c>
    </row>
    <row r="128" spans="1:10" ht="27.65" customHeight="1">
      <c r="A128" s="8"/>
      <c r="B128" s="109" t="s">
        <v>113</v>
      </c>
      <c r="C128" s="109"/>
      <c r="D128" s="109"/>
      <c r="E128" s="109"/>
      <c r="F128" s="109"/>
      <c r="G128" s="109"/>
      <c r="H128" s="109"/>
      <c r="I128" s="45" t="s">
        <v>64</v>
      </c>
      <c r="J128" s="51" t="s">
        <v>64</v>
      </c>
    </row>
    <row r="129" spans="1:10" ht="27.65" customHeight="1">
      <c r="A129" s="8"/>
      <c r="B129" s="109" t="s">
        <v>114</v>
      </c>
      <c r="C129" s="109"/>
      <c r="D129" s="109"/>
      <c r="E129" s="109"/>
      <c r="F129" s="109"/>
      <c r="G129" s="109"/>
      <c r="H129" s="109"/>
      <c r="I129" s="45" t="s">
        <v>64</v>
      </c>
      <c r="J129" s="51" t="s">
        <v>64</v>
      </c>
    </row>
    <row r="130" spans="1:10" ht="13">
      <c r="A130" s="8"/>
      <c r="B130" s="104" t="s">
        <v>115</v>
      </c>
      <c r="C130" s="104"/>
      <c r="D130" s="104"/>
      <c r="E130" s="104"/>
      <c r="F130" s="104"/>
      <c r="G130" s="104"/>
      <c r="H130" s="104"/>
      <c r="I130" s="45" t="s">
        <v>64</v>
      </c>
      <c r="J130" s="51" t="s">
        <v>64</v>
      </c>
    </row>
    <row r="131" spans="1:10" ht="13">
      <c r="A131" s="8"/>
      <c r="B131" s="104" t="s">
        <v>116</v>
      </c>
      <c r="C131" s="104"/>
      <c r="D131" s="104"/>
      <c r="E131" s="104"/>
      <c r="F131" s="104"/>
      <c r="G131" s="104"/>
      <c r="H131" s="104"/>
      <c r="I131" s="45" t="s">
        <v>64</v>
      </c>
      <c r="J131" s="51" t="s">
        <v>64</v>
      </c>
    </row>
    <row r="132" spans="1:10" ht="13">
      <c r="A132" s="8"/>
      <c r="B132" s="104" t="s">
        <v>134</v>
      </c>
      <c r="C132" s="104"/>
      <c r="D132" s="104"/>
      <c r="E132" s="104"/>
      <c r="F132" s="104"/>
      <c r="G132" s="104"/>
      <c r="H132" s="104"/>
      <c r="I132" s="44">
        <v>0.05</v>
      </c>
      <c r="J132" s="16">
        <f>ROUND(($J$123/(1-$I$135))*I132,2)</f>
        <v>237.87</v>
      </c>
    </row>
    <row r="133" spans="1:10" ht="13">
      <c r="A133" s="105" t="s">
        <v>40</v>
      </c>
      <c r="B133" s="105"/>
      <c r="C133" s="105"/>
      <c r="D133" s="105"/>
      <c r="E133" s="105"/>
      <c r="F133" s="105"/>
      <c r="G133" s="105"/>
      <c r="H133" s="105"/>
      <c r="I133" s="105"/>
      <c r="J133" s="14">
        <f>SUM(J120+J122+J126+J127+J132)</f>
        <v>1353.3400000000001</v>
      </c>
    </row>
    <row r="134" spans="1:10" ht="13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</row>
    <row r="135" spans="1:10" ht="14.65" customHeight="1">
      <c r="A135" s="106" t="s">
        <v>117</v>
      </c>
      <c r="B135" s="106"/>
      <c r="C135" s="106"/>
      <c r="D135" s="106"/>
      <c r="E135" s="106"/>
      <c r="F135" s="106"/>
      <c r="G135" s="106"/>
      <c r="H135" s="106"/>
      <c r="I135" s="46">
        <f>SUM(I126:I132)</f>
        <v>8.6499999999999994E-2</v>
      </c>
      <c r="J135" s="41">
        <f>SUM(J126:J132)</f>
        <v>411.51</v>
      </c>
    </row>
    <row r="136" spans="1:10">
      <c r="A136" s="107" t="s">
        <v>118</v>
      </c>
      <c r="B136" s="107"/>
      <c r="C136" s="107"/>
      <c r="D136" s="108" t="s">
        <v>119</v>
      </c>
      <c r="E136" s="108"/>
      <c r="F136" s="108"/>
      <c r="G136" s="108"/>
      <c r="H136" s="108"/>
      <c r="I136" s="108"/>
      <c r="J136" s="108"/>
    </row>
    <row r="137" spans="1:10">
      <c r="A137" s="107"/>
      <c r="B137" s="107"/>
      <c r="C137" s="107"/>
      <c r="D137" s="108" t="s">
        <v>120</v>
      </c>
      <c r="E137" s="108"/>
      <c r="F137" s="108"/>
      <c r="G137" s="108"/>
      <c r="H137" s="108"/>
      <c r="I137" s="108"/>
      <c r="J137" s="108"/>
    </row>
    <row r="138" spans="1:10">
      <c r="A138" s="107"/>
      <c r="B138" s="107"/>
      <c r="C138" s="107"/>
      <c r="D138" s="108" t="s">
        <v>121</v>
      </c>
      <c r="E138" s="108"/>
      <c r="F138" s="108"/>
      <c r="G138" s="108"/>
      <c r="H138" s="108"/>
      <c r="I138" s="108"/>
      <c r="J138" s="108"/>
    </row>
    <row r="139" spans="1:10" ht="13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</row>
    <row r="140" spans="1:10" ht="46" customHeight="1">
      <c r="A140" s="102" t="s">
        <v>122</v>
      </c>
      <c r="B140" s="102"/>
      <c r="C140" s="102"/>
      <c r="D140" s="102"/>
      <c r="E140" s="102"/>
      <c r="F140" s="102"/>
      <c r="G140" s="102"/>
      <c r="H140" s="102"/>
      <c r="I140" s="102"/>
      <c r="J140" s="102"/>
    </row>
    <row r="141" spans="1:10" ht="14.65" customHeight="1">
      <c r="A141" s="103" t="s">
        <v>123</v>
      </c>
      <c r="B141" s="103"/>
      <c r="C141" s="103"/>
      <c r="D141" s="103"/>
      <c r="E141" s="103"/>
      <c r="F141" s="103"/>
      <c r="G141" s="103"/>
      <c r="H141" s="103"/>
      <c r="I141" s="103"/>
      <c r="J141" s="47" t="s">
        <v>37</v>
      </c>
    </row>
    <row r="142" spans="1:10" ht="14.65" customHeight="1">
      <c r="A142" s="48" t="s">
        <v>5</v>
      </c>
      <c r="B142" s="99" t="s">
        <v>124</v>
      </c>
      <c r="C142" s="99"/>
      <c r="D142" s="99"/>
      <c r="E142" s="99"/>
      <c r="F142" s="99"/>
      <c r="G142" s="99"/>
      <c r="H142" s="99"/>
      <c r="I142" s="99"/>
      <c r="J142" s="27">
        <f>J30</f>
        <v>1576.9079999999999</v>
      </c>
    </row>
    <row r="143" spans="1:10" ht="14.65" customHeight="1">
      <c r="A143" s="48" t="s">
        <v>7</v>
      </c>
      <c r="B143" s="99" t="s">
        <v>33</v>
      </c>
      <c r="C143" s="99"/>
      <c r="D143" s="99"/>
      <c r="E143" s="99"/>
      <c r="F143" s="99"/>
      <c r="G143" s="99"/>
      <c r="H143" s="99"/>
      <c r="I143" s="99"/>
      <c r="J143" s="27">
        <f>J71</f>
        <v>1370.5099999999998</v>
      </c>
    </row>
    <row r="144" spans="1:10" ht="14.65" customHeight="1">
      <c r="A144" s="48" t="s">
        <v>9</v>
      </c>
      <c r="B144" s="99" t="s">
        <v>125</v>
      </c>
      <c r="C144" s="99"/>
      <c r="D144" s="99"/>
      <c r="E144" s="99"/>
      <c r="F144" s="99"/>
      <c r="G144" s="99"/>
      <c r="H144" s="99"/>
      <c r="I144" s="99"/>
      <c r="J144" s="27">
        <f>J81</f>
        <v>66.833105000000003</v>
      </c>
    </row>
    <row r="145" spans="1:12" ht="14.65" customHeight="1">
      <c r="A145" s="48" t="s">
        <v>12</v>
      </c>
      <c r="B145" s="99" t="s">
        <v>126</v>
      </c>
      <c r="C145" s="99"/>
      <c r="D145" s="99"/>
      <c r="E145" s="99"/>
      <c r="F145" s="99"/>
      <c r="G145" s="99"/>
      <c r="H145" s="99"/>
      <c r="I145" s="99"/>
      <c r="J145" s="27">
        <f>J107</f>
        <v>145.88291348888887</v>
      </c>
    </row>
    <row r="146" spans="1:12" ht="14.65" customHeight="1">
      <c r="A146" s="48" t="s">
        <v>29</v>
      </c>
      <c r="B146" s="99" t="s">
        <v>127</v>
      </c>
      <c r="C146" s="99"/>
      <c r="D146" s="99"/>
      <c r="E146" s="99"/>
      <c r="F146" s="99"/>
      <c r="G146" s="99"/>
      <c r="H146" s="99"/>
      <c r="I146" s="99"/>
      <c r="J146" s="27">
        <f>J115</f>
        <v>243.90189393939394</v>
      </c>
    </row>
    <row r="147" spans="1:12" ht="14.65" customHeight="1">
      <c r="A147" s="100" t="s">
        <v>128</v>
      </c>
      <c r="B147" s="100"/>
      <c r="C147" s="100"/>
      <c r="D147" s="100"/>
      <c r="E147" s="100"/>
      <c r="F147" s="100"/>
      <c r="G147" s="100"/>
      <c r="H147" s="100"/>
      <c r="I147" s="100"/>
      <c r="J147" s="38">
        <f>SUM(J142:J146)</f>
        <v>3404.0359124282827</v>
      </c>
    </row>
    <row r="148" spans="1:12" ht="14.65" customHeight="1">
      <c r="A148" s="48" t="s">
        <v>53</v>
      </c>
      <c r="B148" s="99" t="s">
        <v>129</v>
      </c>
      <c r="C148" s="99"/>
      <c r="D148" s="99"/>
      <c r="E148" s="99"/>
      <c r="F148" s="99"/>
      <c r="G148" s="99"/>
      <c r="H148" s="99"/>
      <c r="I148" s="99"/>
      <c r="J148" s="27">
        <f>J133</f>
        <v>1353.3400000000001</v>
      </c>
    </row>
    <row r="149" spans="1:12" ht="14.65" customHeight="1">
      <c r="A149" s="100" t="s">
        <v>130</v>
      </c>
      <c r="B149" s="100"/>
      <c r="C149" s="100"/>
      <c r="D149" s="100"/>
      <c r="E149" s="100"/>
      <c r="F149" s="100"/>
      <c r="G149" s="100"/>
      <c r="H149" s="100"/>
      <c r="I149" s="100"/>
      <c r="J149" s="38">
        <f>SUM(J147:J148)</f>
        <v>4757.3759124282824</v>
      </c>
    </row>
    <row r="150" spans="1:12" ht="27.5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A1:J1"/>
    <mergeCell ref="A2:J2"/>
    <mergeCell ref="A3:G3"/>
    <mergeCell ref="H3:J3"/>
    <mergeCell ref="A4:G4"/>
    <mergeCell ref="H4:J4"/>
    <mergeCell ref="B61:H61"/>
    <mergeCell ref="B62:H62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60:H60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7696F-F493-4C47-B7DF-9C81C199E360}">
  <sheetPr>
    <tabColor rgb="FF0070C0"/>
  </sheetPr>
  <dimension ref="A1:Q172"/>
  <sheetViews>
    <sheetView showGridLines="0" view="pageBreakPreview" topLeftCell="A43" zoomScaleNormal="100" zoomScaleSheetLayoutView="100" zoomScalePageLayoutView="95" workbookViewId="0">
      <selection activeCell="J64" sqref="J64"/>
    </sheetView>
  </sheetViews>
  <sheetFormatPr defaultRowHeight="12.5"/>
  <cols>
    <col min="1" max="9" width="8.7265625" customWidth="1"/>
    <col min="10" max="10" width="15.453125" customWidth="1"/>
    <col min="11" max="11" width="17.453125" customWidth="1"/>
    <col min="12" max="12" width="17" customWidth="1"/>
    <col min="13" max="16" width="8.7265625" customWidth="1"/>
    <col min="17" max="17" width="10.81640625" customWidth="1"/>
    <col min="18" max="1025" width="8.7265625" customWidth="1"/>
  </cols>
  <sheetData>
    <row r="1" spans="1:12" ht="24.25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2" ht="46.5" customHeight="1">
      <c r="A2" s="136" t="s">
        <v>297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2" ht="14.65" customHeight="1">
      <c r="A3" s="109" t="s">
        <v>1</v>
      </c>
      <c r="B3" s="109"/>
      <c r="C3" s="109"/>
      <c r="D3" s="109"/>
      <c r="E3" s="109"/>
      <c r="F3" s="109"/>
      <c r="G3" s="109"/>
      <c r="H3" s="138" t="s">
        <v>145</v>
      </c>
      <c r="I3" s="139"/>
      <c r="J3" s="139"/>
    </row>
    <row r="4" spans="1:12" ht="14.65" customHeight="1">
      <c r="A4" s="109" t="s">
        <v>2</v>
      </c>
      <c r="B4" s="109"/>
      <c r="C4" s="109"/>
      <c r="D4" s="109"/>
      <c r="E4" s="109"/>
      <c r="F4" s="109"/>
      <c r="G4" s="109"/>
      <c r="H4" s="140" t="s">
        <v>144</v>
      </c>
      <c r="I4" s="139"/>
      <c r="J4" s="139"/>
    </row>
    <row r="5" spans="1:12" ht="14.65" customHeight="1">
      <c r="A5" s="109" t="s">
        <v>3</v>
      </c>
      <c r="B5" s="109"/>
      <c r="C5" s="109"/>
      <c r="D5" s="109"/>
      <c r="E5" s="109"/>
      <c r="F5" s="109"/>
      <c r="G5" s="109"/>
      <c r="H5" s="109"/>
      <c r="I5" s="109"/>
      <c r="J5" s="109"/>
    </row>
    <row r="6" spans="1:12" ht="16.149999999999999" customHeight="1">
      <c r="A6" s="142" t="s">
        <v>4</v>
      </c>
      <c r="B6" s="142"/>
      <c r="C6" s="142"/>
      <c r="D6" s="142"/>
      <c r="E6" s="142"/>
      <c r="F6" s="142"/>
      <c r="G6" s="142"/>
      <c r="H6" s="142"/>
      <c r="I6" s="142"/>
      <c r="J6" s="142"/>
    </row>
    <row r="7" spans="1:12" ht="14.65" customHeight="1">
      <c r="A7" s="1" t="s">
        <v>5</v>
      </c>
      <c r="B7" s="109" t="s">
        <v>6</v>
      </c>
      <c r="C7" s="109"/>
      <c r="D7" s="109"/>
      <c r="E7" s="109"/>
      <c r="F7" s="109"/>
      <c r="G7" s="109"/>
      <c r="H7" s="141">
        <v>44029</v>
      </c>
      <c r="I7" s="141"/>
      <c r="J7" s="141"/>
    </row>
    <row r="8" spans="1:12" ht="14.65" customHeight="1">
      <c r="A8" s="1" t="s">
        <v>7</v>
      </c>
      <c r="B8" s="109" t="s">
        <v>8</v>
      </c>
      <c r="C8" s="109"/>
      <c r="D8" s="109"/>
      <c r="E8" s="109"/>
      <c r="F8" s="109"/>
      <c r="G8" s="109"/>
      <c r="H8" s="141" t="s">
        <v>140</v>
      </c>
      <c r="I8" s="141"/>
      <c r="J8" s="141"/>
    </row>
    <row r="9" spans="1:12" ht="39" customHeight="1">
      <c r="A9" s="1" t="s">
        <v>9</v>
      </c>
      <c r="B9" s="109" t="s">
        <v>10</v>
      </c>
      <c r="C9" s="109"/>
      <c r="D9" s="109"/>
      <c r="E9" s="109"/>
      <c r="F9" s="109"/>
      <c r="G9" s="109"/>
      <c r="H9" s="141" t="s">
        <v>11</v>
      </c>
      <c r="I9" s="141"/>
      <c r="J9" s="141"/>
      <c r="L9" s="55"/>
    </row>
    <row r="10" spans="1:12" ht="14.65" customHeight="1">
      <c r="A10" s="1" t="s">
        <v>12</v>
      </c>
      <c r="B10" s="109" t="s">
        <v>13</v>
      </c>
      <c r="C10" s="109"/>
      <c r="D10" s="109"/>
      <c r="E10" s="109"/>
      <c r="F10" s="109"/>
      <c r="G10" s="109"/>
      <c r="H10" s="139">
        <v>12</v>
      </c>
      <c r="I10" s="139"/>
      <c r="J10" s="139"/>
    </row>
    <row r="11" spans="1:12" ht="13">
      <c r="A11" s="101"/>
      <c r="B11" s="101"/>
      <c r="C11" s="101"/>
      <c r="D11" s="101"/>
      <c r="E11" s="101"/>
      <c r="F11" s="101"/>
      <c r="G11" s="101"/>
      <c r="H11" s="101"/>
      <c r="I11" s="101"/>
      <c r="J11" s="101"/>
    </row>
    <row r="12" spans="1:12" ht="48.75" customHeight="1">
      <c r="A12" s="132" t="s">
        <v>14</v>
      </c>
      <c r="B12" s="132"/>
      <c r="C12" s="132"/>
      <c r="D12" s="132"/>
      <c r="E12" s="132"/>
      <c r="F12" s="132"/>
      <c r="G12" s="132"/>
      <c r="H12" s="132"/>
      <c r="I12" s="132"/>
      <c r="J12" s="132"/>
      <c r="L12" s="55"/>
    </row>
    <row r="13" spans="1:12" ht="13">
      <c r="A13" s="101"/>
      <c r="B13" s="101"/>
      <c r="C13" s="101"/>
      <c r="D13" s="101"/>
      <c r="E13" s="101"/>
      <c r="F13" s="101"/>
      <c r="G13" s="101"/>
      <c r="H13" s="101"/>
      <c r="I13" s="101"/>
      <c r="J13" s="101"/>
    </row>
    <row r="14" spans="1:12" ht="16.149999999999999" customHeight="1">
      <c r="A14" s="115" t="s">
        <v>15</v>
      </c>
      <c r="B14" s="115"/>
      <c r="C14" s="115"/>
      <c r="D14" s="115"/>
      <c r="E14" s="115"/>
      <c r="F14" s="115"/>
      <c r="G14" s="115"/>
      <c r="H14" s="115"/>
      <c r="I14" s="115"/>
      <c r="J14" s="115"/>
      <c r="L14" s="55"/>
    </row>
    <row r="15" spans="1:12" ht="16.149999999999999" customHeight="1">
      <c r="A15" s="1">
        <v>1</v>
      </c>
      <c r="B15" s="109" t="s">
        <v>16</v>
      </c>
      <c r="C15" s="109"/>
      <c r="D15" s="109"/>
      <c r="E15" s="109"/>
      <c r="F15" s="109"/>
      <c r="G15" s="109"/>
      <c r="H15" s="134" t="s">
        <v>17</v>
      </c>
      <c r="I15" s="134"/>
      <c r="J15" s="134"/>
    </row>
    <row r="16" spans="1:12" ht="16.149999999999999" customHeight="1">
      <c r="A16" s="1">
        <v>2</v>
      </c>
      <c r="B16" s="109" t="s">
        <v>18</v>
      </c>
      <c r="C16" s="109"/>
      <c r="D16" s="109"/>
      <c r="E16" s="109"/>
      <c r="F16" s="109"/>
      <c r="G16" s="109"/>
      <c r="H16" s="134">
        <v>9511</v>
      </c>
      <c r="I16" s="134"/>
      <c r="J16" s="134"/>
    </row>
    <row r="17" spans="1:17" ht="16.149999999999999" customHeight="1">
      <c r="A17" s="1">
        <v>3</v>
      </c>
      <c r="B17" s="109" t="s">
        <v>19</v>
      </c>
      <c r="C17" s="109"/>
      <c r="D17" s="109"/>
      <c r="E17" s="109"/>
      <c r="F17" s="109"/>
      <c r="G17" s="109"/>
      <c r="H17" s="143">
        <v>1314.09</v>
      </c>
      <c r="I17" s="143"/>
      <c r="J17" s="143"/>
    </row>
    <row r="18" spans="1:17" ht="16.149999999999999" customHeight="1">
      <c r="A18" s="1">
        <v>4</v>
      </c>
      <c r="B18" s="109" t="s">
        <v>20</v>
      </c>
      <c r="C18" s="109"/>
      <c r="D18" s="109"/>
      <c r="E18" s="109"/>
      <c r="F18" s="109"/>
      <c r="G18" s="109"/>
      <c r="H18" s="134" t="s">
        <v>168</v>
      </c>
      <c r="I18" s="134"/>
      <c r="J18" s="134"/>
    </row>
    <row r="19" spans="1:17" ht="16.149999999999999" customHeight="1">
      <c r="A19" s="1">
        <v>5</v>
      </c>
      <c r="B19" s="109" t="s">
        <v>21</v>
      </c>
      <c r="C19" s="109"/>
      <c r="D19" s="109"/>
      <c r="E19" s="109"/>
      <c r="F19" s="109"/>
      <c r="G19" s="109"/>
      <c r="H19" s="133" t="s">
        <v>141</v>
      </c>
      <c r="I19" s="133"/>
      <c r="J19" s="133"/>
    </row>
    <row r="20" spans="1:17" ht="16.149999999999999" customHeight="1">
      <c r="A20" s="1">
        <v>5</v>
      </c>
      <c r="B20" s="109" t="s">
        <v>133</v>
      </c>
      <c r="C20" s="109"/>
      <c r="D20" s="109"/>
      <c r="E20" s="109"/>
      <c r="F20" s="109"/>
      <c r="G20" s="109"/>
      <c r="H20" s="131">
        <v>40</v>
      </c>
      <c r="I20" s="131"/>
      <c r="J20" s="131"/>
    </row>
    <row r="21" spans="1:17" ht="13">
      <c r="A21" s="101"/>
      <c r="B21" s="101"/>
      <c r="C21" s="101"/>
      <c r="D21" s="101"/>
      <c r="E21" s="101"/>
      <c r="F21" s="101"/>
      <c r="G21" s="101"/>
      <c r="H21" s="101"/>
      <c r="I21" s="101"/>
      <c r="J21" s="101"/>
    </row>
    <row r="22" spans="1:17" ht="20.65" customHeight="1">
      <c r="A22" s="132" t="s">
        <v>22</v>
      </c>
      <c r="B22" s="132"/>
      <c r="C22" s="132"/>
      <c r="D22" s="132"/>
      <c r="E22" s="132"/>
      <c r="F22" s="132"/>
      <c r="G22" s="132"/>
      <c r="H22" s="132"/>
      <c r="I22" s="132"/>
      <c r="J22" s="132"/>
    </row>
    <row r="23" spans="1:17" ht="30.4" customHeight="1">
      <c r="A23" s="68">
        <v>1</v>
      </c>
      <c r="B23" s="115" t="s">
        <v>23</v>
      </c>
      <c r="C23" s="115"/>
      <c r="D23" s="115"/>
      <c r="E23" s="115"/>
      <c r="F23" s="115"/>
      <c r="G23" s="115"/>
      <c r="H23" s="115" t="s">
        <v>24</v>
      </c>
      <c r="I23" s="115"/>
      <c r="J23" s="68" t="s">
        <v>25</v>
      </c>
    </row>
    <row r="24" spans="1:17" ht="12.75" customHeight="1">
      <c r="A24" s="1" t="s">
        <v>5</v>
      </c>
      <c r="B24" s="109" t="s">
        <v>143</v>
      </c>
      <c r="C24" s="109"/>
      <c r="D24" s="109"/>
      <c r="E24" s="109"/>
      <c r="F24" s="109"/>
      <c r="G24" s="109"/>
      <c r="H24" s="109"/>
      <c r="I24" s="109"/>
      <c r="J24" s="2">
        <f>ROUND(H17/44*H20,2)</f>
        <v>1194.6300000000001</v>
      </c>
    </row>
    <row r="25" spans="1:17" ht="12.75" customHeight="1">
      <c r="A25" s="67" t="s">
        <v>7</v>
      </c>
      <c r="B25" s="109" t="s">
        <v>26</v>
      </c>
      <c r="C25" s="109"/>
      <c r="D25" s="109"/>
      <c r="E25" s="109"/>
      <c r="F25" s="109"/>
      <c r="G25" s="109"/>
      <c r="H25" s="109"/>
      <c r="I25" s="3"/>
      <c r="J25" s="2"/>
      <c r="K25" s="57"/>
    </row>
    <row r="26" spans="1:17" ht="12.75" customHeight="1">
      <c r="A26" s="67" t="s">
        <v>9</v>
      </c>
      <c r="B26" s="109" t="s">
        <v>27</v>
      </c>
      <c r="C26" s="109"/>
      <c r="D26" s="109"/>
      <c r="E26" s="109"/>
      <c r="F26" s="109"/>
      <c r="G26" s="109"/>
      <c r="H26" s="109"/>
      <c r="I26" s="109"/>
      <c r="J26" s="2"/>
    </row>
    <row r="27" spans="1:17" ht="12.75" customHeight="1">
      <c r="A27" s="67" t="s">
        <v>12</v>
      </c>
      <c r="B27" s="109" t="s">
        <v>28</v>
      </c>
      <c r="C27" s="109"/>
      <c r="D27" s="109"/>
      <c r="E27" s="109"/>
      <c r="F27" s="109"/>
      <c r="G27" s="109"/>
      <c r="H27" s="109"/>
      <c r="I27" s="109"/>
      <c r="J27" s="2"/>
    </row>
    <row r="28" spans="1:17" ht="12.75" customHeight="1">
      <c r="A28" s="67" t="s">
        <v>29</v>
      </c>
      <c r="B28" s="109" t="s">
        <v>30</v>
      </c>
      <c r="C28" s="109"/>
      <c r="D28" s="109"/>
      <c r="E28" s="109"/>
      <c r="F28" s="109"/>
      <c r="G28" s="109"/>
      <c r="H28" s="109"/>
      <c r="I28" s="109"/>
      <c r="J28" s="2"/>
      <c r="Q28" s="54"/>
    </row>
    <row r="29" spans="1:17" ht="12.75" customHeight="1">
      <c r="A29" s="1" t="s">
        <v>7</v>
      </c>
      <c r="B29" s="109" t="s">
        <v>31</v>
      </c>
      <c r="C29" s="109"/>
      <c r="D29" s="109"/>
      <c r="E29" s="109"/>
      <c r="F29" s="109"/>
      <c r="G29" s="109"/>
      <c r="H29" s="109"/>
      <c r="I29" s="4">
        <v>0.2</v>
      </c>
      <c r="J29" s="2">
        <f>I29*J24</f>
        <v>238.92600000000004</v>
      </c>
      <c r="Q29" s="54"/>
    </row>
    <row r="30" spans="1:17" ht="15.75" customHeight="1">
      <c r="A30" s="116" t="s">
        <v>32</v>
      </c>
      <c r="B30" s="116"/>
      <c r="C30" s="116"/>
      <c r="D30" s="116"/>
      <c r="E30" s="116"/>
      <c r="F30" s="116"/>
      <c r="G30" s="116"/>
      <c r="H30" s="116"/>
      <c r="I30" s="116"/>
      <c r="J30" s="5">
        <f>SUM(J24:J29)</f>
        <v>1433.556</v>
      </c>
    </row>
    <row r="31" spans="1:17" ht="13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Q31" s="54"/>
    </row>
    <row r="32" spans="1:17" ht="16.149999999999999" customHeight="1">
      <c r="A32" s="112" t="s">
        <v>33</v>
      </c>
      <c r="B32" s="112"/>
      <c r="C32" s="112"/>
      <c r="D32" s="112"/>
      <c r="E32" s="112"/>
      <c r="F32" s="112"/>
      <c r="G32" s="112"/>
      <c r="H32" s="112"/>
      <c r="I32" s="112"/>
      <c r="J32" s="112"/>
    </row>
    <row r="33" spans="1:13" ht="14">
      <c r="A33" s="129" t="s">
        <v>34</v>
      </c>
      <c r="B33" s="129"/>
      <c r="C33" s="129"/>
      <c r="D33" s="129"/>
      <c r="E33" s="129"/>
      <c r="F33" s="129"/>
      <c r="G33" s="129"/>
      <c r="H33" s="129"/>
      <c r="I33" s="129"/>
      <c r="J33" s="129"/>
    </row>
    <row r="34" spans="1:13" ht="14">
      <c r="A34" s="6" t="s">
        <v>35</v>
      </c>
      <c r="B34" s="130" t="s">
        <v>36</v>
      </c>
      <c r="C34" s="130"/>
      <c r="D34" s="130"/>
      <c r="E34" s="130"/>
      <c r="F34" s="130"/>
      <c r="G34" s="130"/>
      <c r="H34" s="130"/>
      <c r="I34" s="130"/>
      <c r="J34" s="7" t="s">
        <v>37</v>
      </c>
    </row>
    <row r="35" spans="1:13" ht="27.65" customHeight="1">
      <c r="A35" s="8" t="s">
        <v>5</v>
      </c>
      <c r="B35" s="109" t="s">
        <v>38</v>
      </c>
      <c r="C35" s="109"/>
      <c r="D35" s="109"/>
      <c r="E35" s="109"/>
      <c r="F35" s="109"/>
      <c r="G35" s="109"/>
      <c r="H35" s="109"/>
      <c r="I35" s="9">
        <v>8.3299999999999999E-2</v>
      </c>
      <c r="J35" s="10">
        <f>ROUND($J$30*I35,2)</f>
        <v>119.42</v>
      </c>
      <c r="M35" s="55"/>
    </row>
    <row r="36" spans="1:13" ht="36.25" customHeight="1">
      <c r="A36" s="8" t="s">
        <v>7</v>
      </c>
      <c r="B36" s="120" t="s">
        <v>39</v>
      </c>
      <c r="C36" s="120"/>
      <c r="D36" s="120"/>
      <c r="E36" s="120"/>
      <c r="F36" s="120"/>
      <c r="G36" s="120"/>
      <c r="H36" s="120"/>
      <c r="I36" s="11">
        <v>3.0249999999999999E-2</v>
      </c>
      <c r="J36" s="10">
        <f>ROUND($J$30*I36,2)</f>
        <v>43.37</v>
      </c>
    </row>
    <row r="37" spans="1:13" ht="13">
      <c r="A37" s="128" t="s">
        <v>40</v>
      </c>
      <c r="B37" s="128"/>
      <c r="C37" s="128"/>
      <c r="D37" s="128"/>
      <c r="E37" s="128"/>
      <c r="F37" s="128"/>
      <c r="G37" s="128"/>
      <c r="H37" s="128"/>
      <c r="I37" s="128"/>
      <c r="J37" s="70">
        <f>SUM(J35+J36)</f>
        <v>162.79</v>
      </c>
    </row>
    <row r="38" spans="1:13" ht="13">
      <c r="A38" s="101"/>
      <c r="B38" s="101"/>
      <c r="C38" s="101"/>
      <c r="D38" s="101"/>
      <c r="E38" s="101"/>
      <c r="F38" s="101"/>
      <c r="G38" s="101"/>
      <c r="H38" s="101"/>
      <c r="I38" s="101"/>
      <c r="J38" s="101"/>
    </row>
    <row r="39" spans="1:13" ht="30.4" customHeight="1">
      <c r="A39" s="112" t="s">
        <v>41</v>
      </c>
      <c r="B39" s="112"/>
      <c r="C39" s="112"/>
      <c r="D39" s="112"/>
      <c r="E39" s="112"/>
      <c r="F39" s="112"/>
      <c r="G39" s="112"/>
      <c r="H39" s="112"/>
      <c r="I39" s="112"/>
      <c r="J39" s="112"/>
    </row>
    <row r="40" spans="1:13" ht="30.4" customHeight="1">
      <c r="A40" s="69" t="s">
        <v>42</v>
      </c>
      <c r="B40" s="113" t="s">
        <v>43</v>
      </c>
      <c r="C40" s="113"/>
      <c r="D40" s="113"/>
      <c r="E40" s="113"/>
      <c r="F40" s="113"/>
      <c r="G40" s="113"/>
      <c r="H40" s="113"/>
      <c r="I40" s="68" t="s">
        <v>44</v>
      </c>
      <c r="J40" s="68" t="s">
        <v>45</v>
      </c>
    </row>
    <row r="41" spans="1:13" ht="13">
      <c r="A41" s="8" t="s">
        <v>5</v>
      </c>
      <c r="B41" s="104" t="s">
        <v>46</v>
      </c>
      <c r="C41" s="104"/>
      <c r="D41" s="104"/>
      <c r="E41" s="104"/>
      <c r="F41" s="104"/>
      <c r="G41" s="104"/>
      <c r="H41" s="104"/>
      <c r="I41" s="15">
        <v>0.2</v>
      </c>
      <c r="J41" s="16">
        <f>ROUND(($J$30+$J$37)*I41,2)</f>
        <v>319.27</v>
      </c>
    </row>
    <row r="42" spans="1:13" ht="13">
      <c r="A42" s="8" t="s">
        <v>7</v>
      </c>
      <c r="B42" s="104" t="s">
        <v>47</v>
      </c>
      <c r="C42" s="104"/>
      <c r="D42" s="104"/>
      <c r="E42" s="104"/>
      <c r="F42" s="104"/>
      <c r="G42" s="104"/>
      <c r="H42" s="104"/>
      <c r="I42" s="15">
        <v>2.5000000000000001E-2</v>
      </c>
      <c r="J42" s="16">
        <f t="shared" ref="J42:J48" si="0">ROUND(($J$30+$J$37)*I42,2)</f>
        <v>39.909999999999997</v>
      </c>
    </row>
    <row r="43" spans="1:13" ht="23.9" customHeight="1">
      <c r="A43" s="8" t="s">
        <v>9</v>
      </c>
      <c r="B43" s="109" t="s">
        <v>48</v>
      </c>
      <c r="C43" s="109"/>
      <c r="D43" s="109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15.96</v>
      </c>
    </row>
    <row r="44" spans="1:13" ht="13">
      <c r="A44" s="8" t="s">
        <v>12</v>
      </c>
      <c r="B44" s="104" t="s">
        <v>51</v>
      </c>
      <c r="C44" s="104"/>
      <c r="D44" s="104"/>
      <c r="E44" s="104"/>
      <c r="F44" s="104"/>
      <c r="G44" s="104"/>
      <c r="H44" s="104"/>
      <c r="I44" s="15">
        <v>1.4999999999999999E-2</v>
      </c>
      <c r="J44" s="16">
        <f t="shared" si="0"/>
        <v>23.95</v>
      </c>
    </row>
    <row r="45" spans="1:13" ht="13">
      <c r="A45" s="8" t="s">
        <v>29</v>
      </c>
      <c r="B45" s="104" t="s">
        <v>52</v>
      </c>
      <c r="C45" s="104"/>
      <c r="D45" s="104"/>
      <c r="E45" s="104"/>
      <c r="F45" s="104"/>
      <c r="G45" s="104"/>
      <c r="H45" s="104"/>
      <c r="I45" s="15">
        <v>0.01</v>
      </c>
      <c r="J45" s="16">
        <f t="shared" si="0"/>
        <v>15.96</v>
      </c>
    </row>
    <row r="46" spans="1:13" ht="13">
      <c r="A46" s="8" t="s">
        <v>53</v>
      </c>
      <c r="B46" s="104" t="s">
        <v>54</v>
      </c>
      <c r="C46" s="104"/>
      <c r="D46" s="104"/>
      <c r="E46" s="104"/>
      <c r="F46" s="104"/>
      <c r="G46" s="104"/>
      <c r="H46" s="104"/>
      <c r="I46" s="15">
        <v>6.0000000000000001E-3</v>
      </c>
      <c r="J46" s="16">
        <f t="shared" si="0"/>
        <v>9.58</v>
      </c>
    </row>
    <row r="47" spans="1:13" ht="13">
      <c r="A47" s="8" t="s">
        <v>55</v>
      </c>
      <c r="B47" s="104" t="s">
        <v>56</v>
      </c>
      <c r="C47" s="104"/>
      <c r="D47" s="104"/>
      <c r="E47" s="104"/>
      <c r="F47" s="104"/>
      <c r="G47" s="104"/>
      <c r="H47" s="104"/>
      <c r="I47" s="15">
        <v>2E-3</v>
      </c>
      <c r="J47" s="16">
        <f t="shared" si="0"/>
        <v>3.19</v>
      </c>
    </row>
    <row r="48" spans="1:13" ht="13">
      <c r="A48" s="8" t="s">
        <v>57</v>
      </c>
      <c r="B48" s="104" t="s">
        <v>58</v>
      </c>
      <c r="C48" s="104"/>
      <c r="D48" s="104"/>
      <c r="E48" s="104"/>
      <c r="F48" s="104"/>
      <c r="G48" s="104"/>
      <c r="H48" s="104"/>
      <c r="I48" s="15">
        <v>0.08</v>
      </c>
      <c r="J48" s="16">
        <f t="shared" si="0"/>
        <v>127.71</v>
      </c>
    </row>
    <row r="49" spans="1:12" ht="13">
      <c r="A49" s="105" t="s">
        <v>40</v>
      </c>
      <c r="B49" s="105"/>
      <c r="C49" s="105"/>
      <c r="D49" s="105"/>
      <c r="E49" s="105"/>
      <c r="F49" s="105"/>
      <c r="G49" s="105"/>
      <c r="H49" s="105"/>
      <c r="I49" s="21">
        <f>SUM(I41:I48)</f>
        <v>0.34800000000000003</v>
      </c>
      <c r="J49" s="14">
        <f>SUM(J41:J48)</f>
        <v>555.52999999999986</v>
      </c>
    </row>
    <row r="50" spans="1:12" ht="13">
      <c r="A50" s="101"/>
      <c r="B50" s="101"/>
      <c r="C50" s="101"/>
      <c r="D50" s="101"/>
      <c r="E50" s="101"/>
      <c r="F50" s="101"/>
      <c r="G50" s="101"/>
      <c r="H50" s="101"/>
      <c r="I50" s="101"/>
      <c r="J50" s="101"/>
    </row>
    <row r="51" spans="1:12" ht="16.149999999999999" customHeight="1">
      <c r="A51" s="112" t="s">
        <v>59</v>
      </c>
      <c r="B51" s="112"/>
      <c r="C51" s="112"/>
      <c r="D51" s="112"/>
      <c r="E51" s="112"/>
      <c r="F51" s="112"/>
      <c r="G51" s="112"/>
      <c r="H51" s="112"/>
      <c r="I51" s="112"/>
      <c r="J51" s="112"/>
      <c r="L51" s="53"/>
    </row>
    <row r="52" spans="1:12" ht="16.149999999999999" customHeight="1">
      <c r="A52" s="69" t="s">
        <v>60</v>
      </c>
      <c r="B52" s="144" t="s">
        <v>61</v>
      </c>
      <c r="C52" s="145"/>
      <c r="D52" s="145"/>
      <c r="E52" s="145"/>
      <c r="F52" s="145"/>
      <c r="G52" s="145"/>
      <c r="H52" s="145"/>
      <c r="I52" s="146"/>
      <c r="J52" s="68" t="s">
        <v>37</v>
      </c>
    </row>
    <row r="53" spans="1:12" ht="13">
      <c r="A53" s="8" t="s">
        <v>5</v>
      </c>
      <c r="B53" s="147" t="s">
        <v>62</v>
      </c>
      <c r="C53" s="148"/>
      <c r="D53" s="148"/>
      <c r="E53" s="148"/>
      <c r="F53" s="148"/>
      <c r="G53" s="148"/>
      <c r="H53" s="148"/>
      <c r="I53" s="149"/>
      <c r="J53" s="16">
        <f>IF(ROUND((I56*I54*I55)-(J24*0.06),2)&lt;0,0,ROUND((I56*I54*I55)-(J24*0.06),2))</f>
        <v>139.52000000000001</v>
      </c>
    </row>
    <row r="54" spans="1:12" ht="13">
      <c r="A54" s="8"/>
      <c r="B54" s="150" t="s">
        <v>63</v>
      </c>
      <c r="C54" s="151"/>
      <c r="D54" s="151"/>
      <c r="E54" s="151"/>
      <c r="F54" s="151"/>
      <c r="G54" s="151"/>
      <c r="H54" s="152"/>
      <c r="I54" s="22">
        <v>4.8</v>
      </c>
      <c r="J54" s="51" t="s">
        <v>64</v>
      </c>
    </row>
    <row r="55" spans="1:12" ht="13">
      <c r="A55" s="8"/>
      <c r="B55" s="150" t="s">
        <v>65</v>
      </c>
      <c r="C55" s="151"/>
      <c r="D55" s="151"/>
      <c r="E55" s="151"/>
      <c r="F55" s="151"/>
      <c r="G55" s="151"/>
      <c r="H55" s="152"/>
      <c r="I55" s="23">
        <v>2</v>
      </c>
      <c r="J55" s="51"/>
    </row>
    <row r="56" spans="1:12" ht="13">
      <c r="A56" s="8"/>
      <c r="B56" s="150" t="s">
        <v>66</v>
      </c>
      <c r="C56" s="151"/>
      <c r="D56" s="151"/>
      <c r="E56" s="151"/>
      <c r="F56" s="151"/>
      <c r="G56" s="151"/>
      <c r="H56" s="152"/>
      <c r="I56" s="24">
        <v>22</v>
      </c>
      <c r="J56" s="51"/>
    </row>
    <row r="57" spans="1:12" ht="13">
      <c r="A57" s="8" t="s">
        <v>7</v>
      </c>
      <c r="B57" s="147" t="s">
        <v>67</v>
      </c>
      <c r="C57" s="148"/>
      <c r="D57" s="148"/>
      <c r="E57" s="148"/>
      <c r="F57" s="148"/>
      <c r="G57" s="148"/>
      <c r="H57" s="148"/>
      <c r="I57" s="149"/>
      <c r="J57" s="16">
        <f>ROUND((I58*I59)-(I59*I58*I60),2)</f>
        <v>359.61</v>
      </c>
    </row>
    <row r="58" spans="1:12" ht="13">
      <c r="A58" s="8"/>
      <c r="B58" s="150" t="s">
        <v>68</v>
      </c>
      <c r="C58" s="151"/>
      <c r="D58" s="151"/>
      <c r="E58" s="151"/>
      <c r="F58" s="151"/>
      <c r="G58" s="151"/>
      <c r="H58" s="152"/>
      <c r="I58" s="22">
        <v>20.18</v>
      </c>
      <c r="J58" s="51" t="s">
        <v>64</v>
      </c>
    </row>
    <row r="59" spans="1:12" ht="13">
      <c r="A59" s="25"/>
      <c r="B59" s="150" t="s">
        <v>69</v>
      </c>
      <c r="C59" s="151"/>
      <c r="D59" s="151"/>
      <c r="E59" s="151"/>
      <c r="F59" s="151"/>
      <c r="G59" s="151"/>
      <c r="H59" s="152"/>
      <c r="I59" s="26">
        <v>22</v>
      </c>
      <c r="J59" s="51"/>
    </row>
    <row r="60" spans="1:12" ht="13">
      <c r="A60" s="25"/>
      <c r="B60" s="150" t="s">
        <v>132</v>
      </c>
      <c r="C60" s="151"/>
      <c r="D60" s="151"/>
      <c r="E60" s="151"/>
      <c r="F60" s="151"/>
      <c r="G60" s="151"/>
      <c r="H60" s="152"/>
      <c r="I60" s="52">
        <v>0.19</v>
      </c>
      <c r="J60" s="51"/>
    </row>
    <row r="61" spans="1:12" ht="27.65" customHeight="1">
      <c r="A61" s="8" t="s">
        <v>9</v>
      </c>
      <c r="B61" s="122" t="s">
        <v>70</v>
      </c>
      <c r="C61" s="123"/>
      <c r="D61" s="123"/>
      <c r="E61" s="123"/>
      <c r="F61" s="123"/>
      <c r="G61" s="123"/>
      <c r="H61" s="123"/>
      <c r="I61" s="124"/>
      <c r="J61" s="27">
        <v>0</v>
      </c>
    </row>
    <row r="62" spans="1:12" ht="27.65" customHeight="1">
      <c r="A62" s="8" t="s">
        <v>12</v>
      </c>
      <c r="B62" s="122"/>
      <c r="C62" s="123"/>
      <c r="D62" s="123"/>
      <c r="E62" s="123"/>
      <c r="F62" s="123"/>
      <c r="G62" s="123"/>
      <c r="H62" s="123"/>
      <c r="I62" s="124"/>
      <c r="J62" s="27"/>
      <c r="L62" s="50"/>
    </row>
    <row r="63" spans="1:12" ht="27.65" customHeight="1">
      <c r="A63" s="8" t="s">
        <v>12</v>
      </c>
      <c r="B63" s="122" t="s">
        <v>186</v>
      </c>
      <c r="C63" s="123"/>
      <c r="D63" s="123"/>
      <c r="E63" s="123"/>
      <c r="F63" s="123"/>
      <c r="G63" s="123"/>
      <c r="H63" s="123"/>
      <c r="I63" s="124"/>
      <c r="J63" s="27">
        <v>17.32</v>
      </c>
      <c r="L63" s="50"/>
    </row>
    <row r="64" spans="1:12" ht="13">
      <c r="A64" s="125" t="s">
        <v>32</v>
      </c>
      <c r="B64" s="126"/>
      <c r="C64" s="126"/>
      <c r="D64" s="126"/>
      <c r="E64" s="126"/>
      <c r="F64" s="126"/>
      <c r="G64" s="126"/>
      <c r="H64" s="126"/>
      <c r="I64" s="127"/>
      <c r="J64" s="14">
        <f>SUM(J53:J63)</f>
        <v>516.45000000000005</v>
      </c>
      <c r="L64" s="50"/>
    </row>
    <row r="65" spans="1:12" ht="13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L65" s="50"/>
    </row>
    <row r="66" spans="1:12" ht="16.149999999999999" customHeight="1">
      <c r="A66" s="112" t="s">
        <v>71</v>
      </c>
      <c r="B66" s="112"/>
      <c r="C66" s="112"/>
      <c r="D66" s="112"/>
      <c r="E66" s="112"/>
      <c r="F66" s="112"/>
      <c r="G66" s="112"/>
      <c r="H66" s="112"/>
      <c r="I66" s="112"/>
      <c r="J66" s="112"/>
      <c r="L66" s="50"/>
    </row>
    <row r="67" spans="1:12" ht="16.149999999999999" customHeight="1">
      <c r="A67" s="68">
        <v>2</v>
      </c>
      <c r="B67" s="115" t="s">
        <v>72</v>
      </c>
      <c r="C67" s="115"/>
      <c r="D67" s="115"/>
      <c r="E67" s="115"/>
      <c r="F67" s="115"/>
      <c r="G67" s="115"/>
      <c r="H67" s="115"/>
      <c r="I67" s="115"/>
      <c r="J67" s="68" t="s">
        <v>37</v>
      </c>
      <c r="L67" s="50"/>
    </row>
    <row r="68" spans="1:12" ht="14.65" customHeight="1">
      <c r="A68" s="1" t="s">
        <v>35</v>
      </c>
      <c r="B68" s="1"/>
      <c r="C68" s="109" t="s">
        <v>73</v>
      </c>
      <c r="D68" s="109"/>
      <c r="E68" s="109"/>
      <c r="F68" s="109"/>
      <c r="G68" s="109"/>
      <c r="H68" s="109"/>
      <c r="I68" s="109"/>
      <c r="J68" s="28">
        <f>J37</f>
        <v>162.79</v>
      </c>
      <c r="L68" s="50"/>
    </row>
    <row r="69" spans="1:12" ht="14.65" customHeight="1">
      <c r="A69" s="1" t="s">
        <v>42</v>
      </c>
      <c r="B69" s="1"/>
      <c r="C69" s="109" t="s">
        <v>43</v>
      </c>
      <c r="D69" s="109"/>
      <c r="E69" s="109"/>
      <c r="F69" s="109"/>
      <c r="G69" s="109"/>
      <c r="H69" s="109"/>
      <c r="I69" s="109"/>
      <c r="J69" s="28">
        <f>J49</f>
        <v>555.52999999999986</v>
      </c>
      <c r="L69" s="50"/>
    </row>
    <row r="70" spans="1:12" ht="14.65" customHeight="1">
      <c r="A70" s="1" t="s">
        <v>60</v>
      </c>
      <c r="B70" s="1"/>
      <c r="C70" s="109" t="s">
        <v>61</v>
      </c>
      <c r="D70" s="109"/>
      <c r="E70" s="109"/>
      <c r="F70" s="109"/>
      <c r="G70" s="109"/>
      <c r="H70" s="109"/>
      <c r="I70" s="109"/>
      <c r="J70" s="28">
        <f>J64</f>
        <v>516.45000000000005</v>
      </c>
      <c r="L70" s="50"/>
    </row>
    <row r="71" spans="1:12" ht="14.65" customHeight="1">
      <c r="A71" s="116" t="s">
        <v>40</v>
      </c>
      <c r="B71" s="116"/>
      <c r="C71" s="116"/>
      <c r="D71" s="116"/>
      <c r="E71" s="116"/>
      <c r="F71" s="116"/>
      <c r="G71" s="116"/>
      <c r="H71" s="116"/>
      <c r="I71" s="116"/>
      <c r="J71" s="29">
        <f>SUM(J68+J69+J70)</f>
        <v>1234.77</v>
      </c>
    </row>
    <row r="72" spans="1:12" ht="13">
      <c r="A72" s="101"/>
      <c r="B72" s="101"/>
      <c r="C72" s="101"/>
      <c r="D72" s="101"/>
      <c r="E72" s="101"/>
      <c r="F72" s="101"/>
      <c r="G72" s="101"/>
      <c r="H72" s="101"/>
      <c r="I72" s="101"/>
      <c r="J72" s="101"/>
    </row>
    <row r="73" spans="1:12" ht="16.149999999999999" customHeight="1">
      <c r="A73" s="112" t="s">
        <v>74</v>
      </c>
      <c r="B73" s="112"/>
      <c r="C73" s="112"/>
      <c r="D73" s="112"/>
      <c r="E73" s="112"/>
      <c r="F73" s="112"/>
      <c r="G73" s="112"/>
      <c r="H73" s="112"/>
      <c r="I73" s="112"/>
      <c r="J73" s="112"/>
    </row>
    <row r="74" spans="1:12" ht="16.149999999999999" customHeight="1">
      <c r="A74" s="69">
        <v>3</v>
      </c>
      <c r="B74" s="115" t="s">
        <v>75</v>
      </c>
      <c r="C74" s="115"/>
      <c r="D74" s="115"/>
      <c r="E74" s="115"/>
      <c r="F74" s="115"/>
      <c r="G74" s="115"/>
      <c r="H74" s="115"/>
      <c r="I74" s="115"/>
      <c r="J74" s="69" t="s">
        <v>76</v>
      </c>
    </row>
    <row r="75" spans="1:12" ht="46.5" customHeight="1">
      <c r="A75" s="8" t="s">
        <v>5</v>
      </c>
      <c r="B75" s="109" t="s">
        <v>135</v>
      </c>
      <c r="C75" s="109"/>
      <c r="D75" s="109"/>
      <c r="E75" s="109"/>
      <c r="F75" s="109"/>
      <c r="G75" s="109"/>
      <c r="H75" s="109"/>
      <c r="I75" s="109"/>
      <c r="J75" s="16">
        <f>ROUND(((J30)+(J35)+(J30/12)+(J36))/12*0.01,2)</f>
        <v>1.43</v>
      </c>
      <c r="L75" s="50"/>
    </row>
    <row r="76" spans="1:12" ht="14.65" customHeight="1">
      <c r="A76" s="8" t="s">
        <v>7</v>
      </c>
      <c r="B76" s="109" t="s">
        <v>77</v>
      </c>
      <c r="C76" s="109"/>
      <c r="D76" s="109"/>
      <c r="E76" s="109"/>
      <c r="F76" s="109"/>
      <c r="G76" s="109"/>
      <c r="H76" s="109"/>
      <c r="I76" s="109"/>
      <c r="J76" s="16">
        <f>ROUND($J$75*I48,2)</f>
        <v>0.11</v>
      </c>
    </row>
    <row r="77" spans="1:12" ht="36.25" customHeight="1">
      <c r="A77" s="8" t="s">
        <v>9</v>
      </c>
      <c r="B77" s="109" t="s">
        <v>136</v>
      </c>
      <c r="C77" s="109"/>
      <c r="D77" s="109"/>
      <c r="E77" s="109"/>
      <c r="F77" s="109"/>
      <c r="G77" s="109"/>
      <c r="H77" s="109"/>
      <c r="I77" s="30">
        <v>2.3999999999999998E-3</v>
      </c>
      <c r="J77" s="16">
        <f>ROUND($J$30*I77,2)</f>
        <v>3.44</v>
      </c>
    </row>
    <row r="78" spans="1:12" ht="34.5" customHeight="1">
      <c r="A78" s="8" t="s">
        <v>12</v>
      </c>
      <c r="B78" s="109" t="s">
        <v>138</v>
      </c>
      <c r="C78" s="109"/>
      <c r="D78" s="109"/>
      <c r="E78" s="109"/>
      <c r="F78" s="109"/>
      <c r="G78" s="109"/>
      <c r="H78" s="109"/>
      <c r="I78" s="109"/>
      <c r="J78" s="16">
        <f>J30/30*7/12*0.05</f>
        <v>1.3937350000000002</v>
      </c>
    </row>
    <row r="79" spans="1:12" ht="14.65" customHeight="1">
      <c r="A79" s="8" t="s">
        <v>29</v>
      </c>
      <c r="B79" s="109" t="s">
        <v>78</v>
      </c>
      <c r="C79" s="109"/>
      <c r="D79" s="109"/>
      <c r="E79" s="109"/>
      <c r="F79" s="109"/>
      <c r="G79" s="109"/>
      <c r="H79" s="109"/>
      <c r="I79" s="109"/>
      <c r="J79" s="16">
        <f>ROUND($I$49*J78,2)</f>
        <v>0.49</v>
      </c>
    </row>
    <row r="80" spans="1:12" ht="36.25" customHeight="1">
      <c r="A80" s="8" t="s">
        <v>53</v>
      </c>
      <c r="B80" s="109" t="s">
        <v>137</v>
      </c>
      <c r="C80" s="109"/>
      <c r="D80" s="109"/>
      <c r="E80" s="109"/>
      <c r="F80" s="109"/>
      <c r="G80" s="109"/>
      <c r="H80" s="109"/>
      <c r="I80" s="30">
        <v>3.7600000000000001E-2</v>
      </c>
      <c r="J80" s="16">
        <f>ROUND($J$30*I80,2)</f>
        <v>53.9</v>
      </c>
    </row>
    <row r="81" spans="1:10" ht="13">
      <c r="A81" s="105" t="s">
        <v>40</v>
      </c>
      <c r="B81" s="105"/>
      <c r="C81" s="105"/>
      <c r="D81" s="105"/>
      <c r="E81" s="105"/>
      <c r="F81" s="105"/>
      <c r="G81" s="105"/>
      <c r="H81" s="105"/>
      <c r="I81" s="105"/>
      <c r="J81" s="14">
        <f>SUM(J75:J80)</f>
        <v>60.763734999999997</v>
      </c>
    </row>
    <row r="82" spans="1:10" ht="13">
      <c r="A82" s="101"/>
      <c r="B82" s="101"/>
      <c r="C82" s="101"/>
      <c r="D82" s="101"/>
      <c r="E82" s="101"/>
      <c r="F82" s="101"/>
      <c r="G82" s="101"/>
      <c r="H82" s="101"/>
      <c r="I82" s="101"/>
      <c r="J82" s="101"/>
    </row>
    <row r="83" spans="1:10" ht="16.149999999999999" customHeight="1">
      <c r="A83" s="112" t="s">
        <v>79</v>
      </c>
      <c r="B83" s="112"/>
      <c r="C83" s="112"/>
      <c r="D83" s="112"/>
      <c r="E83" s="112"/>
      <c r="F83" s="112"/>
      <c r="G83" s="112"/>
      <c r="H83" s="112"/>
      <c r="I83" s="112"/>
      <c r="J83" s="112"/>
    </row>
    <row r="84" spans="1:10" ht="15" customHeight="1">
      <c r="A84" s="119" t="s">
        <v>80</v>
      </c>
      <c r="B84" s="119"/>
      <c r="C84" s="119"/>
      <c r="D84" s="119"/>
      <c r="E84" s="119"/>
      <c r="F84" s="119"/>
      <c r="G84" s="119"/>
      <c r="H84" s="119"/>
      <c r="I84" s="119"/>
      <c r="J84" s="31">
        <f>J87+J30+J35+J36</f>
        <v>1726.4459999999999</v>
      </c>
    </row>
    <row r="85" spans="1:10" ht="14.65" customHeight="1">
      <c r="A85" s="120"/>
      <c r="B85" s="120"/>
      <c r="C85" s="120"/>
      <c r="D85" s="120"/>
      <c r="E85" s="120"/>
      <c r="F85" s="120"/>
      <c r="G85" s="120"/>
      <c r="H85" s="120"/>
      <c r="I85" s="120"/>
      <c r="J85" s="120"/>
    </row>
    <row r="86" spans="1:10" ht="14">
      <c r="A86" s="32" t="s">
        <v>81</v>
      </c>
      <c r="B86" s="113" t="s">
        <v>82</v>
      </c>
      <c r="C86" s="113"/>
      <c r="D86" s="113"/>
      <c r="E86" s="113"/>
      <c r="F86" s="113"/>
      <c r="G86" s="113"/>
      <c r="H86" s="113"/>
      <c r="I86" s="113"/>
      <c r="J86" s="32" t="s">
        <v>37</v>
      </c>
    </row>
    <row r="87" spans="1:10" ht="12.75" customHeight="1">
      <c r="A87" s="12" t="s">
        <v>5</v>
      </c>
      <c r="B87" s="109" t="s">
        <v>83</v>
      </c>
      <c r="C87" s="109"/>
      <c r="D87" s="109"/>
      <c r="E87" s="109"/>
      <c r="F87" s="109"/>
      <c r="G87" s="109"/>
      <c r="H87" s="109"/>
      <c r="I87" s="33">
        <f>12.1%-I36</f>
        <v>9.0749999999999997E-2</v>
      </c>
      <c r="J87" s="16">
        <f>ROUND(($J$30*I87),2)</f>
        <v>130.1</v>
      </c>
    </row>
    <row r="88" spans="1:10" ht="13">
      <c r="A88" s="12" t="s">
        <v>7</v>
      </c>
      <c r="B88" s="104" t="s">
        <v>131</v>
      </c>
      <c r="C88" s="104"/>
      <c r="D88" s="104"/>
      <c r="E88" s="104"/>
      <c r="F88" s="104"/>
      <c r="G88" s="104"/>
      <c r="H88" s="104"/>
      <c r="I88" s="104"/>
      <c r="J88" s="34">
        <f>J84/30*0.1/12</f>
        <v>0.47956833333333332</v>
      </c>
    </row>
    <row r="89" spans="1:10" ht="13">
      <c r="A89" s="12" t="s">
        <v>9</v>
      </c>
      <c r="B89" s="104" t="s">
        <v>84</v>
      </c>
      <c r="C89" s="104"/>
      <c r="D89" s="104"/>
      <c r="E89" s="104"/>
      <c r="F89" s="104"/>
      <c r="G89" s="104"/>
      <c r="H89" s="104"/>
      <c r="I89" s="104"/>
      <c r="J89" s="34">
        <f>J84/30*5/12*1.5%</f>
        <v>0.35967624999999998</v>
      </c>
    </row>
    <row r="90" spans="1:10" ht="13">
      <c r="A90" s="12" t="s">
        <v>12</v>
      </c>
      <c r="B90" s="104" t="s">
        <v>85</v>
      </c>
      <c r="C90" s="104"/>
      <c r="D90" s="104"/>
      <c r="E90" s="104"/>
      <c r="F90" s="104"/>
      <c r="G90" s="104"/>
      <c r="H90" s="104"/>
      <c r="I90" s="104"/>
      <c r="J90" s="13">
        <f>J84/30*15/12*0.78%</f>
        <v>0.56109494999999998</v>
      </c>
    </row>
    <row r="91" spans="1:10" ht="13">
      <c r="A91" s="12" t="s">
        <v>29</v>
      </c>
      <c r="B91" s="104" t="s">
        <v>86</v>
      </c>
      <c r="C91" s="104"/>
      <c r="D91" s="104"/>
      <c r="E91" s="104"/>
      <c r="F91" s="104"/>
      <c r="G91" s="104"/>
      <c r="H91" s="104"/>
      <c r="I91" s="104"/>
      <c r="J91" s="16">
        <f>(J30+J36)/12*4/12*1%</f>
        <v>0.41025722222222222</v>
      </c>
    </row>
    <row r="92" spans="1:10" ht="13">
      <c r="A92" s="35" t="s">
        <v>53</v>
      </c>
      <c r="B92" s="118" t="s">
        <v>87</v>
      </c>
      <c r="C92" s="118"/>
      <c r="D92" s="118"/>
      <c r="E92" s="118"/>
      <c r="F92" s="118"/>
      <c r="G92" s="118"/>
      <c r="H92" s="118"/>
      <c r="I92" s="118"/>
      <c r="J92" s="13">
        <f>J84/30*0.15/12</f>
        <v>0.71935249999999984</v>
      </c>
    </row>
    <row r="93" spans="1:10" ht="13">
      <c r="A93" s="105" t="s">
        <v>40</v>
      </c>
      <c r="B93" s="105"/>
      <c r="C93" s="105"/>
      <c r="D93" s="105"/>
      <c r="E93" s="105"/>
      <c r="F93" s="105"/>
      <c r="G93" s="105"/>
      <c r="H93" s="105"/>
      <c r="I93" s="105"/>
      <c r="J93" s="36">
        <f>SUM(J87:J92)</f>
        <v>132.62994925555557</v>
      </c>
    </row>
    <row r="94" spans="1:10" ht="14.65" customHeight="1">
      <c r="A94" s="12"/>
      <c r="B94" s="104"/>
      <c r="C94" s="104"/>
      <c r="D94" s="104"/>
      <c r="E94" s="104"/>
      <c r="F94" s="104"/>
      <c r="G94" s="104"/>
      <c r="H94" s="104"/>
      <c r="I94" s="104"/>
      <c r="J94" s="13"/>
    </row>
    <row r="95" spans="1:10" ht="13">
      <c r="A95" s="105" t="s">
        <v>40</v>
      </c>
      <c r="B95" s="105"/>
      <c r="C95" s="105"/>
      <c r="D95" s="105"/>
      <c r="E95" s="105"/>
      <c r="F95" s="105"/>
      <c r="G95" s="105"/>
      <c r="H95" s="105"/>
      <c r="I95" s="105"/>
      <c r="J95" s="14">
        <f>SUM(J93:J94)</f>
        <v>132.62994925555557</v>
      </c>
    </row>
    <row r="96" spans="1:10" ht="16.149999999999999" customHeight="1">
      <c r="A96" s="112" t="s">
        <v>88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14">
      <c r="A97" s="69" t="s">
        <v>89</v>
      </c>
      <c r="B97" s="113" t="s">
        <v>90</v>
      </c>
      <c r="C97" s="113"/>
      <c r="D97" s="113"/>
      <c r="E97" s="113"/>
      <c r="F97" s="113"/>
      <c r="G97" s="113"/>
      <c r="H97" s="113"/>
      <c r="I97" s="113"/>
      <c r="J97" s="37" t="s">
        <v>37</v>
      </c>
    </row>
    <row r="98" spans="1:10" ht="13">
      <c r="A98" s="8" t="s">
        <v>5</v>
      </c>
      <c r="B98" s="104" t="s">
        <v>91</v>
      </c>
      <c r="C98" s="104"/>
      <c r="D98" s="104"/>
      <c r="E98" s="104"/>
      <c r="F98" s="104"/>
      <c r="G98" s="104"/>
      <c r="H98" s="104"/>
      <c r="I98" s="104"/>
      <c r="J98" s="16">
        <v>0</v>
      </c>
    </row>
    <row r="99" spans="1:10" ht="13">
      <c r="A99" s="117" t="s">
        <v>40</v>
      </c>
      <c r="B99" s="117"/>
      <c r="C99" s="117"/>
      <c r="D99" s="117"/>
      <c r="E99" s="117"/>
      <c r="F99" s="117"/>
      <c r="G99" s="117"/>
      <c r="H99" s="117"/>
      <c r="I99" s="117"/>
      <c r="J99" s="16">
        <v>0</v>
      </c>
    </row>
    <row r="100" spans="1:10" ht="13">
      <c r="A100" s="12"/>
      <c r="B100" s="104"/>
      <c r="C100" s="104"/>
      <c r="D100" s="104"/>
      <c r="E100" s="104"/>
      <c r="F100" s="104"/>
      <c r="G100" s="104"/>
      <c r="H100" s="104"/>
      <c r="I100" s="104"/>
      <c r="J100" s="13"/>
    </row>
    <row r="101" spans="1:10" ht="13">
      <c r="A101" s="105" t="s">
        <v>40</v>
      </c>
      <c r="B101" s="105"/>
      <c r="C101" s="105"/>
      <c r="D101" s="105"/>
      <c r="E101" s="105"/>
      <c r="F101" s="105"/>
      <c r="G101" s="105"/>
      <c r="H101" s="105"/>
      <c r="I101" s="105"/>
      <c r="J101" s="14">
        <f>SUM(J99:J100)</f>
        <v>0</v>
      </c>
    </row>
    <row r="102" spans="1:10" ht="13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</row>
    <row r="103" spans="1:10" ht="16.149999999999999" customHeight="1">
      <c r="A103" s="112" t="s">
        <v>92</v>
      </c>
      <c r="B103" s="112"/>
      <c r="C103" s="112"/>
      <c r="D103" s="112"/>
      <c r="E103" s="112"/>
      <c r="F103" s="112"/>
      <c r="G103" s="112"/>
      <c r="H103" s="112"/>
      <c r="I103" s="112"/>
      <c r="J103" s="112"/>
    </row>
    <row r="104" spans="1:10" ht="16.149999999999999" customHeight="1">
      <c r="A104" s="68">
        <v>4</v>
      </c>
      <c r="B104" s="115" t="s">
        <v>93</v>
      </c>
      <c r="C104" s="115"/>
      <c r="D104" s="115"/>
      <c r="E104" s="115"/>
      <c r="F104" s="115"/>
      <c r="G104" s="115"/>
      <c r="H104" s="115"/>
      <c r="I104" s="115"/>
      <c r="J104" s="37" t="s">
        <v>37</v>
      </c>
    </row>
    <row r="105" spans="1:10" ht="14.65" customHeight="1">
      <c r="A105" s="1" t="s">
        <v>81</v>
      </c>
      <c r="B105" s="109" t="s">
        <v>94</v>
      </c>
      <c r="C105" s="109"/>
      <c r="D105" s="109"/>
      <c r="E105" s="109"/>
      <c r="F105" s="109"/>
      <c r="G105" s="109"/>
      <c r="H105" s="109"/>
      <c r="I105" s="109"/>
      <c r="J105" s="16">
        <f>J95</f>
        <v>132.62994925555557</v>
      </c>
    </row>
    <row r="106" spans="1:10" ht="14.65" customHeight="1">
      <c r="A106" s="1" t="s">
        <v>95</v>
      </c>
      <c r="B106" s="109" t="s">
        <v>96</v>
      </c>
      <c r="C106" s="109"/>
      <c r="D106" s="109"/>
      <c r="E106" s="109"/>
      <c r="F106" s="109"/>
      <c r="G106" s="109"/>
      <c r="H106" s="109"/>
      <c r="I106" s="109"/>
      <c r="J106" s="16">
        <f>J101</f>
        <v>0</v>
      </c>
    </row>
    <row r="107" spans="1:10" ht="14.65" customHeight="1">
      <c r="A107" s="116" t="s">
        <v>40</v>
      </c>
      <c r="B107" s="116"/>
      <c r="C107" s="116"/>
      <c r="D107" s="116"/>
      <c r="E107" s="116"/>
      <c r="F107" s="116"/>
      <c r="G107" s="116"/>
      <c r="H107" s="116"/>
      <c r="I107" s="116"/>
      <c r="J107" s="14">
        <f>SUM(J105+J106)</f>
        <v>132.62994925555557</v>
      </c>
    </row>
    <row r="108" spans="1:10" ht="13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</row>
    <row r="109" spans="1:10" ht="16.149999999999999" customHeight="1">
      <c r="A109" s="112" t="s">
        <v>97</v>
      </c>
      <c r="B109" s="112"/>
      <c r="C109" s="112"/>
      <c r="D109" s="112"/>
      <c r="E109" s="112"/>
      <c r="F109" s="112"/>
      <c r="G109" s="112"/>
      <c r="H109" s="112"/>
      <c r="I109" s="112"/>
      <c r="J109" s="112"/>
    </row>
    <row r="110" spans="1:10" ht="16.149999999999999" customHeight="1">
      <c r="A110" s="69">
        <v>5</v>
      </c>
      <c r="B110" s="113" t="s">
        <v>98</v>
      </c>
      <c r="C110" s="113"/>
      <c r="D110" s="113"/>
      <c r="E110" s="113"/>
      <c r="F110" s="113"/>
      <c r="G110" s="113"/>
      <c r="H110" s="113"/>
      <c r="I110" s="113"/>
      <c r="J110" s="69" t="s">
        <v>37</v>
      </c>
    </row>
    <row r="111" spans="1:10" ht="13">
      <c r="A111" s="8" t="s">
        <v>5</v>
      </c>
      <c r="B111" s="104" t="s">
        <v>185</v>
      </c>
      <c r="C111" s="104"/>
      <c r="D111" s="104"/>
      <c r="E111" s="104"/>
      <c r="F111" s="104"/>
      <c r="G111" s="104"/>
      <c r="H111" s="104"/>
      <c r="I111" s="104"/>
      <c r="J111" s="16">
        <f>Descritivo!E48</f>
        <v>91.369065656565652</v>
      </c>
    </row>
    <row r="112" spans="1:10" ht="13">
      <c r="A112" s="8" t="s">
        <v>7</v>
      </c>
      <c r="B112" s="104" t="s">
        <v>99</v>
      </c>
      <c r="C112" s="104"/>
      <c r="D112" s="104"/>
      <c r="E112" s="104"/>
      <c r="F112" s="104"/>
      <c r="G112" s="104"/>
      <c r="H112" s="104"/>
      <c r="I112" s="104"/>
      <c r="J112" s="27">
        <f>Descritivo!D93</f>
        <v>116.16919191919192</v>
      </c>
    </row>
    <row r="113" spans="1:10" ht="13">
      <c r="A113" s="8" t="s">
        <v>9</v>
      </c>
      <c r="B113" s="104" t="s">
        <v>139</v>
      </c>
      <c r="C113" s="104"/>
      <c r="D113" s="104"/>
      <c r="E113" s="104"/>
      <c r="F113" s="104"/>
      <c r="G113" s="104"/>
      <c r="H113" s="104"/>
      <c r="I113" s="104"/>
      <c r="J113" s="27">
        <f>Descritivo!C101</f>
        <v>36.363636363636367</v>
      </c>
    </row>
    <row r="114" spans="1:10" ht="13">
      <c r="A114" s="8" t="s">
        <v>12</v>
      </c>
      <c r="B114" s="104" t="s">
        <v>100</v>
      </c>
      <c r="C114" s="104"/>
      <c r="D114" s="104"/>
      <c r="E114" s="104"/>
      <c r="F114" s="104"/>
      <c r="G114" s="104"/>
      <c r="H114" s="104"/>
      <c r="I114" s="104"/>
      <c r="J114" s="27"/>
    </row>
    <row r="115" spans="1:10" ht="13">
      <c r="A115" s="105" t="s">
        <v>32</v>
      </c>
      <c r="B115" s="105"/>
      <c r="C115" s="105"/>
      <c r="D115" s="105"/>
      <c r="E115" s="105"/>
      <c r="F115" s="105"/>
      <c r="G115" s="105"/>
      <c r="H115" s="105"/>
      <c r="I115" s="105"/>
      <c r="J115" s="38">
        <f>SUM(J111:J114)</f>
        <v>243.90189393939394</v>
      </c>
    </row>
    <row r="116" spans="1:10" ht="13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</row>
    <row r="117" spans="1:10" ht="16.149999999999999" customHeight="1">
      <c r="A117" s="112" t="s">
        <v>101</v>
      </c>
      <c r="B117" s="112"/>
      <c r="C117" s="112"/>
      <c r="D117" s="112"/>
      <c r="E117" s="112"/>
      <c r="F117" s="112"/>
      <c r="G117" s="112"/>
      <c r="H117" s="112"/>
      <c r="I117" s="112"/>
      <c r="J117" s="112"/>
    </row>
    <row r="118" spans="1:10" ht="28">
      <c r="A118" s="69">
        <v>6</v>
      </c>
      <c r="B118" s="113" t="s">
        <v>102</v>
      </c>
      <c r="C118" s="113"/>
      <c r="D118" s="113"/>
      <c r="E118" s="113"/>
      <c r="F118" s="113"/>
      <c r="G118" s="113"/>
      <c r="H118" s="113"/>
      <c r="I118" s="68" t="s">
        <v>44</v>
      </c>
      <c r="J118" s="39" t="s">
        <v>103</v>
      </c>
    </row>
    <row r="119" spans="1:10" ht="12.75" customHeight="1">
      <c r="A119" s="111" t="s">
        <v>104</v>
      </c>
      <c r="B119" s="111"/>
      <c r="C119" s="111"/>
      <c r="D119" s="111"/>
      <c r="E119" s="111"/>
      <c r="F119" s="111"/>
      <c r="G119" s="111"/>
      <c r="H119" s="111"/>
      <c r="I119" s="40" t="s">
        <v>64</v>
      </c>
      <c r="J119" s="41">
        <f>SUM(J30+J71+J81+J107+J115)</f>
        <v>3105.6215781949495</v>
      </c>
    </row>
    <row r="120" spans="1:10" ht="15.5">
      <c r="A120" s="42" t="s">
        <v>5</v>
      </c>
      <c r="B120" s="110" t="s">
        <v>105</v>
      </c>
      <c r="C120" s="110"/>
      <c r="D120" s="110"/>
      <c r="E120" s="110"/>
      <c r="F120" s="110"/>
      <c r="G120" s="110"/>
      <c r="H120" s="110"/>
      <c r="I120" s="15">
        <v>0.1091</v>
      </c>
      <c r="J120" s="16">
        <f>ROUND(I120*J119,2)</f>
        <v>338.82</v>
      </c>
    </row>
    <row r="121" spans="1:10" ht="12.75" customHeight="1">
      <c r="A121" s="111" t="s">
        <v>106</v>
      </c>
      <c r="B121" s="111"/>
      <c r="C121" s="111"/>
      <c r="D121" s="111"/>
      <c r="E121" s="111"/>
      <c r="F121" s="111"/>
      <c r="G121" s="111"/>
      <c r="H121" s="111"/>
      <c r="I121" s="43" t="s">
        <v>64</v>
      </c>
      <c r="J121" s="41">
        <f>SUM(J30+J71+J81+J107+J115+J120)</f>
        <v>3444.4415781949497</v>
      </c>
    </row>
    <row r="122" spans="1:10" ht="15.5">
      <c r="A122" s="42" t="s">
        <v>7</v>
      </c>
      <c r="B122" s="110" t="s">
        <v>107</v>
      </c>
      <c r="C122" s="110"/>
      <c r="D122" s="110"/>
      <c r="E122" s="110"/>
      <c r="F122" s="110"/>
      <c r="G122" s="110"/>
      <c r="H122" s="110"/>
      <c r="I122" s="20">
        <v>0.15109700000000001</v>
      </c>
      <c r="J122" s="16">
        <f>ROUND(I122*J121,2)</f>
        <v>520.44000000000005</v>
      </c>
    </row>
    <row r="123" spans="1:10" ht="12.75" customHeight="1">
      <c r="A123" s="111" t="s">
        <v>108</v>
      </c>
      <c r="B123" s="111"/>
      <c r="C123" s="111"/>
      <c r="D123" s="111"/>
      <c r="E123" s="111"/>
      <c r="F123" s="111"/>
      <c r="G123" s="111"/>
      <c r="H123" s="111"/>
      <c r="I123" s="43" t="s">
        <v>64</v>
      </c>
      <c r="J123" s="41">
        <f>SUM(J30+J71+J81+J107+J115+J120+J122)</f>
        <v>3964.8815781949497</v>
      </c>
    </row>
    <row r="124" spans="1:10" ht="15.5">
      <c r="A124" s="42" t="s">
        <v>9</v>
      </c>
      <c r="B124" s="110" t="s">
        <v>109</v>
      </c>
      <c r="C124" s="110"/>
      <c r="D124" s="110"/>
      <c r="E124" s="110"/>
      <c r="F124" s="110"/>
      <c r="G124" s="110"/>
      <c r="H124" s="110"/>
      <c r="I124" s="9" t="s">
        <v>64</v>
      </c>
      <c r="J124" s="51" t="s">
        <v>64</v>
      </c>
    </row>
    <row r="125" spans="1:10" ht="13">
      <c r="A125" s="8"/>
      <c r="B125" s="104" t="s">
        <v>110</v>
      </c>
      <c r="C125" s="104"/>
      <c r="D125" s="104"/>
      <c r="E125" s="104"/>
      <c r="F125" s="104"/>
      <c r="G125" s="104"/>
      <c r="H125" s="104"/>
      <c r="I125" s="9" t="s">
        <v>64</v>
      </c>
      <c r="J125" s="51" t="s">
        <v>64</v>
      </c>
    </row>
    <row r="126" spans="1:10" ht="13">
      <c r="A126" s="8"/>
      <c r="B126" s="104" t="s">
        <v>111</v>
      </c>
      <c r="C126" s="104"/>
      <c r="D126" s="104"/>
      <c r="E126" s="104"/>
      <c r="F126" s="104"/>
      <c r="G126" s="104"/>
      <c r="H126" s="104"/>
      <c r="I126" s="44">
        <v>0.03</v>
      </c>
      <c r="J126" s="16">
        <f>ROUND(($J$123/(1-$I$135))*I126,2)</f>
        <v>130.21</v>
      </c>
    </row>
    <row r="127" spans="1:10" ht="13">
      <c r="A127" s="8"/>
      <c r="B127" s="104" t="s">
        <v>112</v>
      </c>
      <c r="C127" s="104"/>
      <c r="D127" s="104"/>
      <c r="E127" s="104"/>
      <c r="F127" s="104"/>
      <c r="G127" s="104"/>
      <c r="H127" s="104"/>
      <c r="I127" s="44">
        <v>6.4999999999999997E-3</v>
      </c>
      <c r="J127" s="16">
        <f>ROUND(($J$123/(1-$I$135))*I127,2)</f>
        <v>28.21</v>
      </c>
    </row>
    <row r="128" spans="1:10" ht="27.65" customHeight="1">
      <c r="A128" s="8"/>
      <c r="B128" s="109" t="s">
        <v>113</v>
      </c>
      <c r="C128" s="109"/>
      <c r="D128" s="109"/>
      <c r="E128" s="109"/>
      <c r="F128" s="109"/>
      <c r="G128" s="109"/>
      <c r="H128" s="109"/>
      <c r="I128" s="45" t="s">
        <v>64</v>
      </c>
      <c r="J128" s="51" t="s">
        <v>64</v>
      </c>
    </row>
    <row r="129" spans="1:10" ht="27.65" customHeight="1">
      <c r="A129" s="8"/>
      <c r="B129" s="109" t="s">
        <v>114</v>
      </c>
      <c r="C129" s="109"/>
      <c r="D129" s="109"/>
      <c r="E129" s="109"/>
      <c r="F129" s="109"/>
      <c r="G129" s="109"/>
      <c r="H129" s="109"/>
      <c r="I129" s="45" t="s">
        <v>64</v>
      </c>
      <c r="J129" s="51" t="s">
        <v>64</v>
      </c>
    </row>
    <row r="130" spans="1:10" ht="13">
      <c r="A130" s="8"/>
      <c r="B130" s="104" t="s">
        <v>115</v>
      </c>
      <c r="C130" s="104"/>
      <c r="D130" s="104"/>
      <c r="E130" s="104"/>
      <c r="F130" s="104"/>
      <c r="G130" s="104"/>
      <c r="H130" s="104"/>
      <c r="I130" s="45" t="s">
        <v>64</v>
      </c>
      <c r="J130" s="51" t="s">
        <v>64</v>
      </c>
    </row>
    <row r="131" spans="1:10" ht="13">
      <c r="A131" s="8"/>
      <c r="B131" s="104" t="s">
        <v>116</v>
      </c>
      <c r="C131" s="104"/>
      <c r="D131" s="104"/>
      <c r="E131" s="104"/>
      <c r="F131" s="104"/>
      <c r="G131" s="104"/>
      <c r="H131" s="104"/>
      <c r="I131" s="45" t="s">
        <v>64</v>
      </c>
      <c r="J131" s="51" t="s">
        <v>64</v>
      </c>
    </row>
    <row r="132" spans="1:10" ht="13">
      <c r="A132" s="8"/>
      <c r="B132" s="104" t="s">
        <v>134</v>
      </c>
      <c r="C132" s="104"/>
      <c r="D132" s="104"/>
      <c r="E132" s="104"/>
      <c r="F132" s="104"/>
      <c r="G132" s="104"/>
      <c r="H132" s="104"/>
      <c r="I132" s="44">
        <v>0.05</v>
      </c>
      <c r="J132" s="16">
        <f>ROUND(($J$123/(1-$I$135))*I132,2)</f>
        <v>217.02</v>
      </c>
    </row>
    <row r="133" spans="1:10" ht="13">
      <c r="A133" s="105" t="s">
        <v>40</v>
      </c>
      <c r="B133" s="105"/>
      <c r="C133" s="105"/>
      <c r="D133" s="105"/>
      <c r="E133" s="105"/>
      <c r="F133" s="105"/>
      <c r="G133" s="105"/>
      <c r="H133" s="105"/>
      <c r="I133" s="105"/>
      <c r="J133" s="14">
        <f>SUM(J120+J122+J126+J127+J132)</f>
        <v>1234.7</v>
      </c>
    </row>
    <row r="134" spans="1:10" ht="13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</row>
    <row r="135" spans="1:10" ht="14.65" customHeight="1">
      <c r="A135" s="106" t="s">
        <v>117</v>
      </c>
      <c r="B135" s="106"/>
      <c r="C135" s="106"/>
      <c r="D135" s="106"/>
      <c r="E135" s="106"/>
      <c r="F135" s="106"/>
      <c r="G135" s="106"/>
      <c r="H135" s="106"/>
      <c r="I135" s="46">
        <f>SUM(I126:I132)</f>
        <v>8.6499999999999994E-2</v>
      </c>
      <c r="J135" s="41">
        <f>SUM(J126:J132)</f>
        <v>375.44000000000005</v>
      </c>
    </row>
    <row r="136" spans="1:10">
      <c r="A136" s="107" t="s">
        <v>118</v>
      </c>
      <c r="B136" s="107"/>
      <c r="C136" s="107"/>
      <c r="D136" s="108" t="s">
        <v>119</v>
      </c>
      <c r="E136" s="108"/>
      <c r="F136" s="108"/>
      <c r="G136" s="108"/>
      <c r="H136" s="108"/>
      <c r="I136" s="108"/>
      <c r="J136" s="108"/>
    </row>
    <row r="137" spans="1:10">
      <c r="A137" s="107"/>
      <c r="B137" s="107"/>
      <c r="C137" s="107"/>
      <c r="D137" s="108" t="s">
        <v>120</v>
      </c>
      <c r="E137" s="108"/>
      <c r="F137" s="108"/>
      <c r="G137" s="108"/>
      <c r="H137" s="108"/>
      <c r="I137" s="108"/>
      <c r="J137" s="108"/>
    </row>
    <row r="138" spans="1:10">
      <c r="A138" s="107"/>
      <c r="B138" s="107"/>
      <c r="C138" s="107"/>
      <c r="D138" s="108" t="s">
        <v>121</v>
      </c>
      <c r="E138" s="108"/>
      <c r="F138" s="108"/>
      <c r="G138" s="108"/>
      <c r="H138" s="108"/>
      <c r="I138" s="108"/>
      <c r="J138" s="108"/>
    </row>
    <row r="139" spans="1:10" ht="13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</row>
    <row r="140" spans="1:10" ht="46" customHeight="1">
      <c r="A140" s="102" t="s">
        <v>122</v>
      </c>
      <c r="B140" s="102"/>
      <c r="C140" s="102"/>
      <c r="D140" s="102"/>
      <c r="E140" s="102"/>
      <c r="F140" s="102"/>
      <c r="G140" s="102"/>
      <c r="H140" s="102"/>
      <c r="I140" s="102"/>
      <c r="J140" s="102"/>
    </row>
    <row r="141" spans="1:10" ht="14.65" customHeight="1">
      <c r="A141" s="103" t="s">
        <v>123</v>
      </c>
      <c r="B141" s="103"/>
      <c r="C141" s="103"/>
      <c r="D141" s="103"/>
      <c r="E141" s="103"/>
      <c r="F141" s="103"/>
      <c r="G141" s="103"/>
      <c r="H141" s="103"/>
      <c r="I141" s="103"/>
      <c r="J141" s="47" t="s">
        <v>37</v>
      </c>
    </row>
    <row r="142" spans="1:10" ht="14.65" customHeight="1">
      <c r="A142" s="48" t="s">
        <v>5</v>
      </c>
      <c r="B142" s="99" t="s">
        <v>124</v>
      </c>
      <c r="C142" s="99"/>
      <c r="D142" s="99"/>
      <c r="E142" s="99"/>
      <c r="F142" s="99"/>
      <c r="G142" s="99"/>
      <c r="H142" s="99"/>
      <c r="I142" s="99"/>
      <c r="J142" s="27">
        <f>J30</f>
        <v>1433.556</v>
      </c>
    </row>
    <row r="143" spans="1:10" ht="14.65" customHeight="1">
      <c r="A143" s="48" t="s">
        <v>7</v>
      </c>
      <c r="B143" s="99" t="s">
        <v>33</v>
      </c>
      <c r="C143" s="99"/>
      <c r="D143" s="99"/>
      <c r="E143" s="99"/>
      <c r="F143" s="99"/>
      <c r="G143" s="99"/>
      <c r="H143" s="99"/>
      <c r="I143" s="99"/>
      <c r="J143" s="27">
        <f>J71</f>
        <v>1234.77</v>
      </c>
    </row>
    <row r="144" spans="1:10" ht="14.65" customHeight="1">
      <c r="A144" s="48" t="s">
        <v>9</v>
      </c>
      <c r="B144" s="99" t="s">
        <v>125</v>
      </c>
      <c r="C144" s="99"/>
      <c r="D144" s="99"/>
      <c r="E144" s="99"/>
      <c r="F144" s="99"/>
      <c r="G144" s="99"/>
      <c r="H144" s="99"/>
      <c r="I144" s="99"/>
      <c r="J144" s="27">
        <f>J81</f>
        <v>60.763734999999997</v>
      </c>
    </row>
    <row r="145" spans="1:12" ht="14.65" customHeight="1">
      <c r="A145" s="48" t="s">
        <v>12</v>
      </c>
      <c r="B145" s="99" t="s">
        <v>126</v>
      </c>
      <c r="C145" s="99"/>
      <c r="D145" s="99"/>
      <c r="E145" s="99"/>
      <c r="F145" s="99"/>
      <c r="G145" s="99"/>
      <c r="H145" s="99"/>
      <c r="I145" s="99"/>
      <c r="J145" s="27">
        <f>J107</f>
        <v>132.62994925555557</v>
      </c>
    </row>
    <row r="146" spans="1:12" ht="14.65" customHeight="1">
      <c r="A146" s="48" t="s">
        <v>29</v>
      </c>
      <c r="B146" s="99" t="s">
        <v>127</v>
      </c>
      <c r="C146" s="99"/>
      <c r="D146" s="99"/>
      <c r="E146" s="99"/>
      <c r="F146" s="99"/>
      <c r="G146" s="99"/>
      <c r="H146" s="99"/>
      <c r="I146" s="99"/>
      <c r="J146" s="27">
        <f>J115</f>
        <v>243.90189393939394</v>
      </c>
    </row>
    <row r="147" spans="1:12" ht="14.65" customHeight="1">
      <c r="A147" s="100" t="s">
        <v>128</v>
      </c>
      <c r="B147" s="100"/>
      <c r="C147" s="100"/>
      <c r="D147" s="100"/>
      <c r="E147" s="100"/>
      <c r="F147" s="100"/>
      <c r="G147" s="100"/>
      <c r="H147" s="100"/>
      <c r="I147" s="100"/>
      <c r="J147" s="38">
        <f>SUM(J142:J146)</f>
        <v>3105.6215781949495</v>
      </c>
    </row>
    <row r="148" spans="1:12" ht="14.65" customHeight="1">
      <c r="A148" s="48" t="s">
        <v>53</v>
      </c>
      <c r="B148" s="99" t="s">
        <v>129</v>
      </c>
      <c r="C148" s="99"/>
      <c r="D148" s="99"/>
      <c r="E148" s="99"/>
      <c r="F148" s="99"/>
      <c r="G148" s="99"/>
      <c r="H148" s="99"/>
      <c r="I148" s="99"/>
      <c r="J148" s="27">
        <f>J133</f>
        <v>1234.7</v>
      </c>
    </row>
    <row r="149" spans="1:12" ht="14.65" customHeight="1">
      <c r="A149" s="100" t="s">
        <v>130</v>
      </c>
      <c r="B149" s="100"/>
      <c r="C149" s="100"/>
      <c r="D149" s="100"/>
      <c r="E149" s="100"/>
      <c r="F149" s="100"/>
      <c r="G149" s="100"/>
      <c r="H149" s="100"/>
      <c r="I149" s="100"/>
      <c r="J149" s="38">
        <f>SUM(J147:J148)</f>
        <v>4340.3215781949493</v>
      </c>
    </row>
    <row r="150" spans="1:12" ht="27.5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B60:H60"/>
    <mergeCell ref="B61:I61"/>
    <mergeCell ref="B62:I62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A1:J1"/>
    <mergeCell ref="A2:J2"/>
    <mergeCell ref="A3:G3"/>
    <mergeCell ref="H3:J3"/>
    <mergeCell ref="A4:G4"/>
    <mergeCell ref="H4:J4"/>
    <mergeCell ref="B9:G9"/>
    <mergeCell ref="H9:J9"/>
    <mergeCell ref="B10:G10"/>
    <mergeCell ref="H10:J10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51B9E-0A03-4F9B-87C0-51D3CFC03E79}">
  <sheetPr>
    <tabColor rgb="FF0070C0"/>
  </sheetPr>
  <dimension ref="A1:Q172"/>
  <sheetViews>
    <sheetView showGridLines="0" view="pageBreakPreview" topLeftCell="A96" zoomScaleNormal="100" zoomScaleSheetLayoutView="100" zoomScalePageLayoutView="95" workbookViewId="0">
      <selection activeCell="J64" sqref="J64"/>
    </sheetView>
  </sheetViews>
  <sheetFormatPr defaultRowHeight="12.5"/>
  <cols>
    <col min="1" max="9" width="8.7265625" customWidth="1"/>
    <col min="10" max="10" width="15.453125" customWidth="1"/>
    <col min="11" max="11" width="17.453125" customWidth="1"/>
    <col min="12" max="12" width="17" customWidth="1"/>
    <col min="13" max="16" width="8.7265625" customWidth="1"/>
    <col min="17" max="17" width="10.81640625" customWidth="1"/>
    <col min="18" max="1025" width="8.7265625" customWidth="1"/>
  </cols>
  <sheetData>
    <row r="1" spans="1:12" ht="24.25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2" ht="46.5" customHeight="1">
      <c r="A2" s="136" t="s">
        <v>297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2" ht="14.65" customHeight="1">
      <c r="A3" s="109" t="s">
        <v>1</v>
      </c>
      <c r="B3" s="109"/>
      <c r="C3" s="109"/>
      <c r="D3" s="109"/>
      <c r="E3" s="109"/>
      <c r="F3" s="109"/>
      <c r="G3" s="109"/>
      <c r="H3" s="138" t="s">
        <v>145</v>
      </c>
      <c r="I3" s="139"/>
      <c r="J3" s="139"/>
    </row>
    <row r="4" spans="1:12" ht="14.65" customHeight="1">
      <c r="A4" s="109" t="s">
        <v>2</v>
      </c>
      <c r="B4" s="109"/>
      <c r="C4" s="109"/>
      <c r="D4" s="109"/>
      <c r="E4" s="109"/>
      <c r="F4" s="109"/>
      <c r="G4" s="109"/>
      <c r="H4" s="140" t="s">
        <v>144</v>
      </c>
      <c r="I4" s="139"/>
      <c r="J4" s="139"/>
    </row>
    <row r="5" spans="1:12" ht="14.65" customHeight="1">
      <c r="A5" s="109" t="s">
        <v>3</v>
      </c>
      <c r="B5" s="109"/>
      <c r="C5" s="109"/>
      <c r="D5" s="109"/>
      <c r="E5" s="109"/>
      <c r="F5" s="109"/>
      <c r="G5" s="109"/>
      <c r="H5" s="109"/>
      <c r="I5" s="109"/>
      <c r="J5" s="109"/>
    </row>
    <row r="6" spans="1:12" ht="16.149999999999999" customHeight="1">
      <c r="A6" s="142" t="s">
        <v>4</v>
      </c>
      <c r="B6" s="142"/>
      <c r="C6" s="142"/>
      <c r="D6" s="142"/>
      <c r="E6" s="142"/>
      <c r="F6" s="142"/>
      <c r="G6" s="142"/>
      <c r="H6" s="142"/>
      <c r="I6" s="142"/>
      <c r="J6" s="142"/>
    </row>
    <row r="7" spans="1:12" ht="14.65" customHeight="1">
      <c r="A7" s="1" t="s">
        <v>5</v>
      </c>
      <c r="B7" s="109" t="s">
        <v>6</v>
      </c>
      <c r="C7" s="109"/>
      <c r="D7" s="109"/>
      <c r="E7" s="109"/>
      <c r="F7" s="109"/>
      <c r="G7" s="109"/>
      <c r="H7" s="141">
        <v>44029</v>
      </c>
      <c r="I7" s="141"/>
      <c r="J7" s="141"/>
    </row>
    <row r="8" spans="1:12" ht="14.65" customHeight="1">
      <c r="A8" s="1" t="s">
        <v>7</v>
      </c>
      <c r="B8" s="109" t="s">
        <v>8</v>
      </c>
      <c r="C8" s="109"/>
      <c r="D8" s="109"/>
      <c r="E8" s="109"/>
      <c r="F8" s="109"/>
      <c r="G8" s="109"/>
      <c r="H8" s="141" t="s">
        <v>140</v>
      </c>
      <c r="I8" s="141"/>
      <c r="J8" s="141"/>
    </row>
    <row r="9" spans="1:12" ht="39" customHeight="1">
      <c r="A9" s="1" t="s">
        <v>9</v>
      </c>
      <c r="B9" s="109" t="s">
        <v>10</v>
      </c>
      <c r="C9" s="109"/>
      <c r="D9" s="109"/>
      <c r="E9" s="109"/>
      <c r="F9" s="109"/>
      <c r="G9" s="109"/>
      <c r="H9" s="141" t="s">
        <v>11</v>
      </c>
      <c r="I9" s="141"/>
      <c r="J9" s="141"/>
      <c r="L9" s="55"/>
    </row>
    <row r="10" spans="1:12" ht="14.65" customHeight="1">
      <c r="A10" s="1" t="s">
        <v>12</v>
      </c>
      <c r="B10" s="109" t="s">
        <v>13</v>
      </c>
      <c r="C10" s="109"/>
      <c r="D10" s="109"/>
      <c r="E10" s="109"/>
      <c r="F10" s="109"/>
      <c r="G10" s="109"/>
      <c r="H10" s="139">
        <v>12</v>
      </c>
      <c r="I10" s="139"/>
      <c r="J10" s="139"/>
    </row>
    <row r="11" spans="1:12" ht="13">
      <c r="A11" s="101"/>
      <c r="B11" s="101"/>
      <c r="C11" s="101"/>
      <c r="D11" s="101"/>
      <c r="E11" s="101"/>
      <c r="F11" s="101"/>
      <c r="G11" s="101"/>
      <c r="H11" s="101"/>
      <c r="I11" s="101"/>
      <c r="J11" s="101"/>
    </row>
    <row r="12" spans="1:12" ht="48.75" customHeight="1">
      <c r="A12" s="132" t="s">
        <v>14</v>
      </c>
      <c r="B12" s="132"/>
      <c r="C12" s="132"/>
      <c r="D12" s="132"/>
      <c r="E12" s="132"/>
      <c r="F12" s="132"/>
      <c r="G12" s="132"/>
      <c r="H12" s="132"/>
      <c r="I12" s="132"/>
      <c r="J12" s="132"/>
      <c r="L12" s="55"/>
    </row>
    <row r="13" spans="1:12" ht="13">
      <c r="A13" s="101"/>
      <c r="B13" s="101"/>
      <c r="C13" s="101"/>
      <c r="D13" s="101"/>
      <c r="E13" s="101"/>
      <c r="F13" s="101"/>
      <c r="G13" s="101"/>
      <c r="H13" s="101"/>
      <c r="I13" s="101"/>
      <c r="J13" s="101"/>
    </row>
    <row r="14" spans="1:12" ht="16.149999999999999" customHeight="1">
      <c r="A14" s="115" t="s">
        <v>15</v>
      </c>
      <c r="B14" s="115"/>
      <c r="C14" s="115"/>
      <c r="D14" s="115"/>
      <c r="E14" s="115"/>
      <c r="F14" s="115"/>
      <c r="G14" s="115"/>
      <c r="H14" s="115"/>
      <c r="I14" s="115"/>
      <c r="J14" s="115"/>
      <c r="L14" s="55"/>
    </row>
    <row r="15" spans="1:12" ht="16.149999999999999" customHeight="1">
      <c r="A15" s="1">
        <v>1</v>
      </c>
      <c r="B15" s="109" t="s">
        <v>16</v>
      </c>
      <c r="C15" s="109"/>
      <c r="D15" s="109"/>
      <c r="E15" s="109"/>
      <c r="F15" s="109"/>
      <c r="G15" s="109"/>
      <c r="H15" s="134" t="s">
        <v>17</v>
      </c>
      <c r="I15" s="134"/>
      <c r="J15" s="134"/>
    </row>
    <row r="16" spans="1:12" ht="16.149999999999999" customHeight="1">
      <c r="A16" s="1">
        <v>2</v>
      </c>
      <c r="B16" s="109" t="s">
        <v>18</v>
      </c>
      <c r="C16" s="109"/>
      <c r="D16" s="109"/>
      <c r="E16" s="109"/>
      <c r="F16" s="109"/>
      <c r="G16" s="109"/>
      <c r="H16" s="134">
        <v>9511</v>
      </c>
      <c r="I16" s="134"/>
      <c r="J16" s="134"/>
    </row>
    <row r="17" spans="1:17" ht="16.149999999999999" customHeight="1">
      <c r="A17" s="1">
        <v>3</v>
      </c>
      <c r="B17" s="109" t="s">
        <v>19</v>
      </c>
      <c r="C17" s="109"/>
      <c r="D17" s="109"/>
      <c r="E17" s="109"/>
      <c r="F17" s="109"/>
      <c r="G17" s="109"/>
      <c r="H17" s="143">
        <v>1601.35</v>
      </c>
      <c r="I17" s="143"/>
      <c r="J17" s="143"/>
    </row>
    <row r="18" spans="1:17" ht="16.149999999999999" customHeight="1">
      <c r="A18" s="1">
        <v>4</v>
      </c>
      <c r="B18" s="109" t="s">
        <v>20</v>
      </c>
      <c r="C18" s="109"/>
      <c r="D18" s="109"/>
      <c r="E18" s="109"/>
      <c r="F18" s="109"/>
      <c r="G18" s="109"/>
      <c r="H18" s="134" t="s">
        <v>182</v>
      </c>
      <c r="I18" s="134"/>
      <c r="J18" s="134"/>
    </row>
    <row r="19" spans="1:17" ht="16.149999999999999" customHeight="1">
      <c r="A19" s="1">
        <v>5</v>
      </c>
      <c r="B19" s="109" t="s">
        <v>21</v>
      </c>
      <c r="C19" s="109"/>
      <c r="D19" s="109"/>
      <c r="E19" s="109"/>
      <c r="F19" s="109"/>
      <c r="G19" s="109"/>
      <c r="H19" s="133" t="s">
        <v>141</v>
      </c>
      <c r="I19" s="133"/>
      <c r="J19" s="133"/>
    </row>
    <row r="20" spans="1:17" ht="16.149999999999999" customHeight="1">
      <c r="A20" s="1">
        <v>5</v>
      </c>
      <c r="B20" s="109" t="s">
        <v>133</v>
      </c>
      <c r="C20" s="109"/>
      <c r="D20" s="109"/>
      <c r="E20" s="109"/>
      <c r="F20" s="109"/>
      <c r="G20" s="109"/>
      <c r="H20" s="131">
        <v>44</v>
      </c>
      <c r="I20" s="131"/>
      <c r="J20" s="131"/>
    </row>
    <row r="21" spans="1:17" ht="13">
      <c r="A21" s="101"/>
      <c r="B21" s="101"/>
      <c r="C21" s="101"/>
      <c r="D21" s="101"/>
      <c r="E21" s="101"/>
      <c r="F21" s="101"/>
      <c r="G21" s="101"/>
      <c r="H21" s="101"/>
      <c r="I21" s="101"/>
      <c r="J21" s="101"/>
    </row>
    <row r="22" spans="1:17" ht="20.65" customHeight="1">
      <c r="A22" s="132" t="s">
        <v>22</v>
      </c>
      <c r="B22" s="132"/>
      <c r="C22" s="132"/>
      <c r="D22" s="132"/>
      <c r="E22" s="132"/>
      <c r="F22" s="132"/>
      <c r="G22" s="132"/>
      <c r="H22" s="132"/>
      <c r="I22" s="132"/>
      <c r="J22" s="132"/>
    </row>
    <row r="23" spans="1:17" ht="30.4" customHeight="1">
      <c r="A23" s="64">
        <v>1</v>
      </c>
      <c r="B23" s="115" t="s">
        <v>23</v>
      </c>
      <c r="C23" s="115"/>
      <c r="D23" s="115"/>
      <c r="E23" s="115"/>
      <c r="F23" s="115"/>
      <c r="G23" s="115"/>
      <c r="H23" s="115" t="s">
        <v>24</v>
      </c>
      <c r="I23" s="115"/>
      <c r="J23" s="64" t="s">
        <v>25</v>
      </c>
    </row>
    <row r="24" spans="1:17" ht="12.75" customHeight="1">
      <c r="A24" s="1" t="s">
        <v>5</v>
      </c>
      <c r="B24" s="109" t="s">
        <v>143</v>
      </c>
      <c r="C24" s="109"/>
      <c r="D24" s="109"/>
      <c r="E24" s="109"/>
      <c r="F24" s="109"/>
      <c r="G24" s="109"/>
      <c r="H24" s="109"/>
      <c r="I24" s="109"/>
      <c r="J24" s="2">
        <f>ROUND(H17/44*H20,2)</f>
        <v>1601.35</v>
      </c>
    </row>
    <row r="25" spans="1:17" ht="12.75" customHeight="1">
      <c r="A25" s="66" t="s">
        <v>7</v>
      </c>
      <c r="B25" s="109" t="s">
        <v>26</v>
      </c>
      <c r="C25" s="109"/>
      <c r="D25" s="109"/>
      <c r="E25" s="109"/>
      <c r="F25" s="109"/>
      <c r="G25" s="109"/>
      <c r="H25" s="109"/>
      <c r="I25" s="3"/>
      <c r="J25" s="2"/>
      <c r="K25" s="57"/>
    </row>
    <row r="26" spans="1:17" ht="12.75" customHeight="1">
      <c r="A26" s="66" t="s">
        <v>9</v>
      </c>
      <c r="B26" s="109" t="s">
        <v>27</v>
      </c>
      <c r="C26" s="109"/>
      <c r="D26" s="109"/>
      <c r="E26" s="109"/>
      <c r="F26" s="109"/>
      <c r="G26" s="109"/>
      <c r="H26" s="109"/>
      <c r="I26" s="109"/>
      <c r="J26" s="2"/>
    </row>
    <row r="27" spans="1:17" ht="12.75" customHeight="1">
      <c r="A27" s="66" t="s">
        <v>12</v>
      </c>
      <c r="B27" s="109" t="s">
        <v>28</v>
      </c>
      <c r="C27" s="109"/>
      <c r="D27" s="109"/>
      <c r="E27" s="109"/>
      <c r="F27" s="109"/>
      <c r="G27" s="109"/>
      <c r="H27" s="109"/>
      <c r="I27" s="109"/>
      <c r="J27" s="2"/>
    </row>
    <row r="28" spans="1:17" ht="12.75" customHeight="1">
      <c r="A28" s="66" t="s">
        <v>29</v>
      </c>
      <c r="B28" s="109" t="s">
        <v>30</v>
      </c>
      <c r="C28" s="109"/>
      <c r="D28" s="109"/>
      <c r="E28" s="109"/>
      <c r="F28" s="109"/>
      <c r="G28" s="109"/>
      <c r="H28" s="109"/>
      <c r="I28" s="109"/>
      <c r="J28" s="2"/>
      <c r="Q28" s="54"/>
    </row>
    <row r="29" spans="1:17" ht="12.75" customHeight="1">
      <c r="A29" s="1" t="s">
        <v>7</v>
      </c>
      <c r="B29" s="109" t="s">
        <v>31</v>
      </c>
      <c r="C29" s="109"/>
      <c r="D29" s="109"/>
      <c r="E29" s="109"/>
      <c r="F29" s="109"/>
      <c r="G29" s="109"/>
      <c r="H29" s="109"/>
      <c r="I29" s="4">
        <v>0.2</v>
      </c>
      <c r="J29" s="2">
        <f>I29*J24</f>
        <v>320.27</v>
      </c>
      <c r="Q29" s="54"/>
    </row>
    <row r="30" spans="1:17" ht="15.75" customHeight="1">
      <c r="A30" s="116" t="s">
        <v>32</v>
      </c>
      <c r="B30" s="116"/>
      <c r="C30" s="116"/>
      <c r="D30" s="116"/>
      <c r="E30" s="116"/>
      <c r="F30" s="116"/>
      <c r="G30" s="116"/>
      <c r="H30" s="116"/>
      <c r="I30" s="116"/>
      <c r="J30" s="5">
        <f>SUM(J24:J29)</f>
        <v>1921.62</v>
      </c>
    </row>
    <row r="31" spans="1:17" ht="13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Q31" s="54"/>
    </row>
    <row r="32" spans="1:17" ht="16.149999999999999" customHeight="1">
      <c r="A32" s="112" t="s">
        <v>33</v>
      </c>
      <c r="B32" s="112"/>
      <c r="C32" s="112"/>
      <c r="D32" s="112"/>
      <c r="E32" s="112"/>
      <c r="F32" s="112"/>
      <c r="G32" s="112"/>
      <c r="H32" s="112"/>
      <c r="I32" s="112"/>
      <c r="J32" s="112"/>
    </row>
    <row r="33" spans="1:13" ht="14">
      <c r="A33" s="129" t="s">
        <v>34</v>
      </c>
      <c r="B33" s="129"/>
      <c r="C33" s="129"/>
      <c r="D33" s="129"/>
      <c r="E33" s="129"/>
      <c r="F33" s="129"/>
      <c r="G33" s="129"/>
      <c r="H33" s="129"/>
      <c r="I33" s="129"/>
      <c r="J33" s="129"/>
    </row>
    <row r="34" spans="1:13" ht="14">
      <c r="A34" s="6" t="s">
        <v>35</v>
      </c>
      <c r="B34" s="130" t="s">
        <v>36</v>
      </c>
      <c r="C34" s="130"/>
      <c r="D34" s="130"/>
      <c r="E34" s="130"/>
      <c r="F34" s="130"/>
      <c r="G34" s="130"/>
      <c r="H34" s="130"/>
      <c r="I34" s="130"/>
      <c r="J34" s="7" t="s">
        <v>37</v>
      </c>
    </row>
    <row r="35" spans="1:13" ht="27.65" customHeight="1">
      <c r="A35" s="8" t="s">
        <v>5</v>
      </c>
      <c r="B35" s="109" t="s">
        <v>38</v>
      </c>
      <c r="C35" s="109"/>
      <c r="D35" s="109"/>
      <c r="E35" s="109"/>
      <c r="F35" s="109"/>
      <c r="G35" s="109"/>
      <c r="H35" s="109"/>
      <c r="I35" s="9">
        <v>8.3299999999999999E-2</v>
      </c>
      <c r="J35" s="10">
        <f>ROUND($J$30*I35,2)</f>
        <v>160.07</v>
      </c>
      <c r="M35" s="55"/>
    </row>
    <row r="36" spans="1:13" ht="36.25" customHeight="1">
      <c r="A36" s="8" t="s">
        <v>7</v>
      </c>
      <c r="B36" s="120" t="s">
        <v>39</v>
      </c>
      <c r="C36" s="120"/>
      <c r="D36" s="120"/>
      <c r="E36" s="120"/>
      <c r="F36" s="120"/>
      <c r="G36" s="120"/>
      <c r="H36" s="120"/>
      <c r="I36" s="11">
        <v>3.0249999999999999E-2</v>
      </c>
      <c r="J36" s="10">
        <f>ROUND($J$30*I36,2)</f>
        <v>58.13</v>
      </c>
    </row>
    <row r="37" spans="1:13" ht="13">
      <c r="A37" s="128" t="s">
        <v>40</v>
      </c>
      <c r="B37" s="128"/>
      <c r="C37" s="128"/>
      <c r="D37" s="128"/>
      <c r="E37" s="128"/>
      <c r="F37" s="128"/>
      <c r="G37" s="128"/>
      <c r="H37" s="128"/>
      <c r="I37" s="128"/>
      <c r="J37" s="65">
        <f>SUM(J35+J36)</f>
        <v>218.2</v>
      </c>
    </row>
    <row r="38" spans="1:13" ht="13">
      <c r="A38" s="101"/>
      <c r="B38" s="101"/>
      <c r="C38" s="101"/>
      <c r="D38" s="101"/>
      <c r="E38" s="101"/>
      <c r="F38" s="101"/>
      <c r="G38" s="101"/>
      <c r="H38" s="101"/>
      <c r="I38" s="101"/>
      <c r="J38" s="101"/>
    </row>
    <row r="39" spans="1:13" ht="30.4" customHeight="1">
      <c r="A39" s="112" t="s">
        <v>41</v>
      </c>
      <c r="B39" s="112"/>
      <c r="C39" s="112"/>
      <c r="D39" s="112"/>
      <c r="E39" s="112"/>
      <c r="F39" s="112"/>
      <c r="G39" s="112"/>
      <c r="H39" s="112"/>
      <c r="I39" s="112"/>
      <c r="J39" s="112"/>
    </row>
    <row r="40" spans="1:13" ht="30.4" customHeight="1">
      <c r="A40" s="63" t="s">
        <v>42</v>
      </c>
      <c r="B40" s="113" t="s">
        <v>43</v>
      </c>
      <c r="C40" s="113"/>
      <c r="D40" s="113"/>
      <c r="E40" s="113"/>
      <c r="F40" s="113"/>
      <c r="G40" s="113"/>
      <c r="H40" s="113"/>
      <c r="I40" s="64" t="s">
        <v>44</v>
      </c>
      <c r="J40" s="64" t="s">
        <v>45</v>
      </c>
    </row>
    <row r="41" spans="1:13" ht="13">
      <c r="A41" s="8" t="s">
        <v>5</v>
      </c>
      <c r="B41" s="104" t="s">
        <v>46</v>
      </c>
      <c r="C41" s="104"/>
      <c r="D41" s="104"/>
      <c r="E41" s="104"/>
      <c r="F41" s="104"/>
      <c r="G41" s="104"/>
      <c r="H41" s="104"/>
      <c r="I41" s="15">
        <v>0.2</v>
      </c>
      <c r="J41" s="16">
        <f>ROUND(($J$30+$J$37)*I41,2)</f>
        <v>427.96</v>
      </c>
    </row>
    <row r="42" spans="1:13" ht="13">
      <c r="A42" s="8" t="s">
        <v>7</v>
      </c>
      <c r="B42" s="104" t="s">
        <v>47</v>
      </c>
      <c r="C42" s="104"/>
      <c r="D42" s="104"/>
      <c r="E42" s="104"/>
      <c r="F42" s="104"/>
      <c r="G42" s="104"/>
      <c r="H42" s="104"/>
      <c r="I42" s="15">
        <v>2.5000000000000001E-2</v>
      </c>
      <c r="J42" s="16">
        <f t="shared" ref="J42:J48" si="0">ROUND(($J$30+$J$37)*I42,2)</f>
        <v>53.5</v>
      </c>
    </row>
    <row r="43" spans="1:13" ht="23.9" customHeight="1">
      <c r="A43" s="8" t="s">
        <v>9</v>
      </c>
      <c r="B43" s="109" t="s">
        <v>48</v>
      </c>
      <c r="C43" s="109"/>
      <c r="D43" s="109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21.4</v>
      </c>
    </row>
    <row r="44" spans="1:13" ht="13">
      <c r="A44" s="8" t="s">
        <v>12</v>
      </c>
      <c r="B44" s="104" t="s">
        <v>51</v>
      </c>
      <c r="C44" s="104"/>
      <c r="D44" s="104"/>
      <c r="E44" s="104"/>
      <c r="F44" s="104"/>
      <c r="G44" s="104"/>
      <c r="H44" s="104"/>
      <c r="I44" s="15">
        <v>1.4999999999999999E-2</v>
      </c>
      <c r="J44" s="16">
        <f t="shared" si="0"/>
        <v>32.1</v>
      </c>
    </row>
    <row r="45" spans="1:13" ht="13">
      <c r="A45" s="8" t="s">
        <v>29</v>
      </c>
      <c r="B45" s="104" t="s">
        <v>52</v>
      </c>
      <c r="C45" s="104"/>
      <c r="D45" s="104"/>
      <c r="E45" s="104"/>
      <c r="F45" s="104"/>
      <c r="G45" s="104"/>
      <c r="H45" s="104"/>
      <c r="I45" s="15">
        <v>0.01</v>
      </c>
      <c r="J45" s="16">
        <f t="shared" si="0"/>
        <v>21.4</v>
      </c>
    </row>
    <row r="46" spans="1:13" ht="13">
      <c r="A46" s="8" t="s">
        <v>53</v>
      </c>
      <c r="B46" s="104" t="s">
        <v>54</v>
      </c>
      <c r="C46" s="104"/>
      <c r="D46" s="104"/>
      <c r="E46" s="104"/>
      <c r="F46" s="104"/>
      <c r="G46" s="104"/>
      <c r="H46" s="104"/>
      <c r="I46" s="15">
        <v>6.0000000000000001E-3</v>
      </c>
      <c r="J46" s="16">
        <f t="shared" si="0"/>
        <v>12.84</v>
      </c>
    </row>
    <row r="47" spans="1:13" ht="13">
      <c r="A47" s="8" t="s">
        <v>55</v>
      </c>
      <c r="B47" s="104" t="s">
        <v>56</v>
      </c>
      <c r="C47" s="104"/>
      <c r="D47" s="104"/>
      <c r="E47" s="104"/>
      <c r="F47" s="104"/>
      <c r="G47" s="104"/>
      <c r="H47" s="104"/>
      <c r="I47" s="15">
        <v>2E-3</v>
      </c>
      <c r="J47" s="16">
        <f t="shared" si="0"/>
        <v>4.28</v>
      </c>
    </row>
    <row r="48" spans="1:13" ht="13">
      <c r="A48" s="8" t="s">
        <v>57</v>
      </c>
      <c r="B48" s="104" t="s">
        <v>58</v>
      </c>
      <c r="C48" s="104"/>
      <c r="D48" s="104"/>
      <c r="E48" s="104"/>
      <c r="F48" s="104"/>
      <c r="G48" s="104"/>
      <c r="H48" s="104"/>
      <c r="I48" s="15">
        <v>0.08</v>
      </c>
      <c r="J48" s="16">
        <f t="shared" si="0"/>
        <v>171.19</v>
      </c>
    </row>
    <row r="49" spans="1:12" ht="13">
      <c r="A49" s="105" t="s">
        <v>40</v>
      </c>
      <c r="B49" s="105"/>
      <c r="C49" s="105"/>
      <c r="D49" s="105"/>
      <c r="E49" s="105"/>
      <c r="F49" s="105"/>
      <c r="G49" s="105"/>
      <c r="H49" s="105"/>
      <c r="I49" s="21">
        <f>SUM(I41:I48)</f>
        <v>0.34800000000000003</v>
      </c>
      <c r="J49" s="14">
        <f>SUM(J41:J48)</f>
        <v>744.66999999999985</v>
      </c>
    </row>
    <row r="50" spans="1:12" ht="13">
      <c r="A50" s="101"/>
      <c r="B50" s="101"/>
      <c r="C50" s="101"/>
      <c r="D50" s="101"/>
      <c r="E50" s="101"/>
      <c r="F50" s="101"/>
      <c r="G50" s="101"/>
      <c r="H50" s="101"/>
      <c r="I50" s="101"/>
      <c r="J50" s="101"/>
    </row>
    <row r="51" spans="1:12" ht="16.149999999999999" customHeight="1">
      <c r="A51" s="112" t="s">
        <v>59</v>
      </c>
      <c r="B51" s="112"/>
      <c r="C51" s="112"/>
      <c r="D51" s="112"/>
      <c r="E51" s="112"/>
      <c r="F51" s="112"/>
      <c r="G51" s="112"/>
      <c r="H51" s="112"/>
      <c r="I51" s="112"/>
      <c r="J51" s="112"/>
      <c r="L51" s="53"/>
    </row>
    <row r="52" spans="1:12" ht="16.149999999999999" customHeight="1">
      <c r="A52" s="69" t="s">
        <v>60</v>
      </c>
      <c r="B52" s="113" t="s">
        <v>61</v>
      </c>
      <c r="C52" s="113"/>
      <c r="D52" s="113"/>
      <c r="E52" s="113"/>
      <c r="F52" s="113"/>
      <c r="G52" s="113"/>
      <c r="H52" s="113"/>
      <c r="I52" s="113"/>
      <c r="J52" s="68" t="s">
        <v>37</v>
      </c>
    </row>
    <row r="53" spans="1:12" ht="13">
      <c r="A53" s="8" t="s">
        <v>5</v>
      </c>
      <c r="B53" s="104" t="s">
        <v>62</v>
      </c>
      <c r="C53" s="104"/>
      <c r="D53" s="104"/>
      <c r="E53" s="104"/>
      <c r="F53" s="104"/>
      <c r="G53" s="104"/>
      <c r="H53" s="104"/>
      <c r="I53" s="104"/>
      <c r="J53" s="16">
        <f>IF(ROUND((I56*I54*I55)-(J24*0.06),2)&lt;0,0,ROUND((I56*I54*I55)-(J24*0.06),2))</f>
        <v>153.52000000000001</v>
      </c>
    </row>
    <row r="54" spans="1:12" ht="13">
      <c r="A54" s="8"/>
      <c r="B54" s="121" t="s">
        <v>63</v>
      </c>
      <c r="C54" s="121"/>
      <c r="D54" s="121"/>
      <c r="E54" s="121"/>
      <c r="F54" s="121"/>
      <c r="G54" s="121"/>
      <c r="H54" s="121"/>
      <c r="I54" s="22">
        <v>4.8</v>
      </c>
      <c r="J54" s="51" t="s">
        <v>64</v>
      </c>
    </row>
    <row r="55" spans="1:12" ht="13">
      <c r="A55" s="8"/>
      <c r="B55" s="121" t="s">
        <v>65</v>
      </c>
      <c r="C55" s="121"/>
      <c r="D55" s="121"/>
      <c r="E55" s="121"/>
      <c r="F55" s="121"/>
      <c r="G55" s="121"/>
      <c r="H55" s="121"/>
      <c r="I55" s="23">
        <v>2</v>
      </c>
      <c r="J55" s="51"/>
    </row>
    <row r="56" spans="1:12" ht="13">
      <c r="A56" s="8"/>
      <c r="B56" s="121" t="s">
        <v>66</v>
      </c>
      <c r="C56" s="121"/>
      <c r="D56" s="121"/>
      <c r="E56" s="121"/>
      <c r="F56" s="121"/>
      <c r="G56" s="121"/>
      <c r="H56" s="121"/>
      <c r="I56" s="24">
        <v>26</v>
      </c>
      <c r="J56" s="51"/>
    </row>
    <row r="57" spans="1:12" ht="13">
      <c r="A57" s="8" t="s">
        <v>7</v>
      </c>
      <c r="B57" s="104" t="s">
        <v>67</v>
      </c>
      <c r="C57" s="104"/>
      <c r="D57" s="104"/>
      <c r="E57" s="104"/>
      <c r="F57" s="104"/>
      <c r="G57" s="104"/>
      <c r="H57" s="104"/>
      <c r="I57" s="104"/>
      <c r="J57" s="16">
        <f>ROUND((I58*I59)-(I59*I58*I60),2)</f>
        <v>359.61</v>
      </c>
    </row>
    <row r="58" spans="1:12" ht="13">
      <c r="A58" s="8"/>
      <c r="B58" s="121" t="s">
        <v>68</v>
      </c>
      <c r="C58" s="121"/>
      <c r="D58" s="121"/>
      <c r="E58" s="121"/>
      <c r="F58" s="121"/>
      <c r="G58" s="121"/>
      <c r="H58" s="121"/>
      <c r="I58" s="22">
        <v>20.18</v>
      </c>
      <c r="J58" s="51" t="s">
        <v>64</v>
      </c>
    </row>
    <row r="59" spans="1:12" ht="13">
      <c r="A59" s="25"/>
      <c r="B59" s="121" t="s">
        <v>69</v>
      </c>
      <c r="C59" s="121"/>
      <c r="D59" s="121"/>
      <c r="E59" s="121"/>
      <c r="F59" s="121"/>
      <c r="G59" s="121"/>
      <c r="H59" s="121"/>
      <c r="I59" s="26">
        <v>22</v>
      </c>
      <c r="J59" s="51"/>
    </row>
    <row r="60" spans="1:12" ht="13">
      <c r="A60" s="25"/>
      <c r="B60" s="121" t="s">
        <v>132</v>
      </c>
      <c r="C60" s="121"/>
      <c r="D60" s="121"/>
      <c r="E60" s="121"/>
      <c r="F60" s="121"/>
      <c r="G60" s="121"/>
      <c r="H60" s="121"/>
      <c r="I60" s="52">
        <v>0.19</v>
      </c>
      <c r="J60" s="51"/>
    </row>
    <row r="61" spans="1:12" ht="27.65" customHeight="1">
      <c r="A61" s="8"/>
      <c r="B61" s="121" t="s">
        <v>208</v>
      </c>
      <c r="C61" s="121"/>
      <c r="D61" s="121"/>
      <c r="E61" s="121"/>
      <c r="F61" s="121"/>
      <c r="G61" s="121"/>
      <c r="H61" s="121"/>
      <c r="I61" s="22">
        <f>I58/2</f>
        <v>10.09</v>
      </c>
      <c r="J61" s="16">
        <f>ROUND((I61*I62)-(I61*I62*I60),2)</f>
        <v>32.69</v>
      </c>
    </row>
    <row r="62" spans="1:12" ht="27.65" customHeight="1">
      <c r="A62" s="25"/>
      <c r="B62" s="121" t="s">
        <v>69</v>
      </c>
      <c r="C62" s="121"/>
      <c r="D62" s="121"/>
      <c r="E62" s="121"/>
      <c r="F62" s="121"/>
      <c r="G62" s="121"/>
      <c r="H62" s="121"/>
      <c r="I62" s="26">
        <v>4</v>
      </c>
      <c r="J62" s="51"/>
      <c r="L62" s="50"/>
    </row>
    <row r="63" spans="1:12" ht="27.65" customHeight="1">
      <c r="A63" s="8" t="s">
        <v>12</v>
      </c>
      <c r="B63" s="122" t="s">
        <v>186</v>
      </c>
      <c r="C63" s="123"/>
      <c r="D63" s="123"/>
      <c r="E63" s="123"/>
      <c r="F63" s="123"/>
      <c r="G63" s="123"/>
      <c r="H63" s="123"/>
      <c r="I63" s="124"/>
      <c r="J63" s="27">
        <v>17.32</v>
      </c>
      <c r="L63" s="50"/>
    </row>
    <row r="64" spans="1:12" ht="13">
      <c r="A64" s="125" t="s">
        <v>32</v>
      </c>
      <c r="B64" s="126"/>
      <c r="C64" s="126"/>
      <c r="D64" s="126"/>
      <c r="E64" s="126"/>
      <c r="F64" s="126"/>
      <c r="G64" s="126"/>
      <c r="H64" s="126"/>
      <c r="I64" s="127"/>
      <c r="J64" s="14">
        <f>SUM(J53:J63)</f>
        <v>563.14</v>
      </c>
      <c r="L64" s="50"/>
    </row>
    <row r="65" spans="1:12" ht="13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L65" s="50"/>
    </row>
    <row r="66" spans="1:12" ht="16.149999999999999" customHeight="1">
      <c r="A66" s="112" t="s">
        <v>71</v>
      </c>
      <c r="B66" s="112"/>
      <c r="C66" s="112"/>
      <c r="D66" s="112"/>
      <c r="E66" s="112"/>
      <c r="F66" s="112"/>
      <c r="G66" s="112"/>
      <c r="H66" s="112"/>
      <c r="I66" s="112"/>
      <c r="J66" s="112"/>
      <c r="L66" s="50"/>
    </row>
    <row r="67" spans="1:12" ht="16.149999999999999" customHeight="1">
      <c r="A67" s="64">
        <v>2</v>
      </c>
      <c r="B67" s="115" t="s">
        <v>72</v>
      </c>
      <c r="C67" s="115"/>
      <c r="D67" s="115"/>
      <c r="E67" s="115"/>
      <c r="F67" s="115"/>
      <c r="G67" s="115"/>
      <c r="H67" s="115"/>
      <c r="I67" s="115"/>
      <c r="J67" s="64" t="s">
        <v>37</v>
      </c>
      <c r="L67" s="50"/>
    </row>
    <row r="68" spans="1:12" ht="14.65" customHeight="1">
      <c r="A68" s="1" t="s">
        <v>35</v>
      </c>
      <c r="B68" s="1"/>
      <c r="C68" s="109" t="s">
        <v>73</v>
      </c>
      <c r="D68" s="109"/>
      <c r="E68" s="109"/>
      <c r="F68" s="109"/>
      <c r="G68" s="109"/>
      <c r="H68" s="109"/>
      <c r="I68" s="109"/>
      <c r="J68" s="28">
        <f>J37</f>
        <v>218.2</v>
      </c>
      <c r="L68" s="50"/>
    </row>
    <row r="69" spans="1:12" ht="14.65" customHeight="1">
      <c r="A69" s="1" t="s">
        <v>42</v>
      </c>
      <c r="B69" s="1"/>
      <c r="C69" s="109" t="s">
        <v>43</v>
      </c>
      <c r="D69" s="109"/>
      <c r="E69" s="109"/>
      <c r="F69" s="109"/>
      <c r="G69" s="109"/>
      <c r="H69" s="109"/>
      <c r="I69" s="109"/>
      <c r="J69" s="28">
        <f>J49</f>
        <v>744.66999999999985</v>
      </c>
      <c r="L69" s="50"/>
    </row>
    <row r="70" spans="1:12" ht="14.65" customHeight="1">
      <c r="A70" s="1" t="s">
        <v>60</v>
      </c>
      <c r="B70" s="1"/>
      <c r="C70" s="109" t="s">
        <v>61</v>
      </c>
      <c r="D70" s="109"/>
      <c r="E70" s="109"/>
      <c r="F70" s="109"/>
      <c r="G70" s="109"/>
      <c r="H70" s="109"/>
      <c r="I70" s="109"/>
      <c r="J70" s="28">
        <f>J64</f>
        <v>563.14</v>
      </c>
      <c r="L70" s="50"/>
    </row>
    <row r="71" spans="1:12" ht="14.65" customHeight="1">
      <c r="A71" s="116" t="s">
        <v>40</v>
      </c>
      <c r="B71" s="116"/>
      <c r="C71" s="116"/>
      <c r="D71" s="116"/>
      <c r="E71" s="116"/>
      <c r="F71" s="116"/>
      <c r="G71" s="116"/>
      <c r="H71" s="116"/>
      <c r="I71" s="116"/>
      <c r="J71" s="29">
        <f>SUM(J68+J69+J70)</f>
        <v>1526.0099999999998</v>
      </c>
    </row>
    <row r="72" spans="1:12" ht="13">
      <c r="A72" s="101"/>
      <c r="B72" s="101"/>
      <c r="C72" s="101"/>
      <c r="D72" s="101"/>
      <c r="E72" s="101"/>
      <c r="F72" s="101"/>
      <c r="G72" s="101"/>
      <c r="H72" s="101"/>
      <c r="I72" s="101"/>
      <c r="J72" s="101"/>
    </row>
    <row r="73" spans="1:12" ht="16.149999999999999" customHeight="1">
      <c r="A73" s="112" t="s">
        <v>74</v>
      </c>
      <c r="B73" s="112"/>
      <c r="C73" s="112"/>
      <c r="D73" s="112"/>
      <c r="E73" s="112"/>
      <c r="F73" s="112"/>
      <c r="G73" s="112"/>
      <c r="H73" s="112"/>
      <c r="I73" s="112"/>
      <c r="J73" s="112"/>
    </row>
    <row r="74" spans="1:12" ht="16.149999999999999" customHeight="1">
      <c r="A74" s="63">
        <v>3</v>
      </c>
      <c r="B74" s="115" t="s">
        <v>75</v>
      </c>
      <c r="C74" s="115"/>
      <c r="D74" s="115"/>
      <c r="E74" s="115"/>
      <c r="F74" s="115"/>
      <c r="G74" s="115"/>
      <c r="H74" s="115"/>
      <c r="I74" s="115"/>
      <c r="J74" s="63" t="s">
        <v>76</v>
      </c>
    </row>
    <row r="75" spans="1:12" ht="46.5" customHeight="1">
      <c r="A75" s="8" t="s">
        <v>5</v>
      </c>
      <c r="B75" s="109" t="s">
        <v>135</v>
      </c>
      <c r="C75" s="109"/>
      <c r="D75" s="109"/>
      <c r="E75" s="109"/>
      <c r="F75" s="109"/>
      <c r="G75" s="109"/>
      <c r="H75" s="109"/>
      <c r="I75" s="109"/>
      <c r="J75" s="16">
        <f>ROUND(((J30)+(J35)+(J30/12)+(J36))/12*0.01,2)</f>
        <v>1.92</v>
      </c>
      <c r="L75" s="50"/>
    </row>
    <row r="76" spans="1:12" ht="14.65" customHeight="1">
      <c r="A76" s="8" t="s">
        <v>7</v>
      </c>
      <c r="B76" s="109" t="s">
        <v>77</v>
      </c>
      <c r="C76" s="109"/>
      <c r="D76" s="109"/>
      <c r="E76" s="109"/>
      <c r="F76" s="109"/>
      <c r="G76" s="109"/>
      <c r="H76" s="109"/>
      <c r="I76" s="109"/>
      <c r="J76" s="16">
        <f>ROUND($J$75*I48,2)</f>
        <v>0.15</v>
      </c>
    </row>
    <row r="77" spans="1:12" ht="36.25" customHeight="1">
      <c r="A77" s="8" t="s">
        <v>9</v>
      </c>
      <c r="B77" s="109" t="s">
        <v>136</v>
      </c>
      <c r="C77" s="109"/>
      <c r="D77" s="109"/>
      <c r="E77" s="109"/>
      <c r="F77" s="109"/>
      <c r="G77" s="109"/>
      <c r="H77" s="109"/>
      <c r="I77" s="30">
        <v>2.3999999999999998E-3</v>
      </c>
      <c r="J77" s="16">
        <f>ROUND($J$30*I77,2)</f>
        <v>4.6100000000000003</v>
      </c>
    </row>
    <row r="78" spans="1:12" ht="34.5" customHeight="1">
      <c r="A78" s="8" t="s">
        <v>12</v>
      </c>
      <c r="B78" s="109" t="s">
        <v>138</v>
      </c>
      <c r="C78" s="109"/>
      <c r="D78" s="109"/>
      <c r="E78" s="109"/>
      <c r="F78" s="109"/>
      <c r="G78" s="109"/>
      <c r="H78" s="109"/>
      <c r="I78" s="109"/>
      <c r="J78" s="16">
        <f>J30/30*7/12*0.05</f>
        <v>1.868241666666667</v>
      </c>
    </row>
    <row r="79" spans="1:12" ht="14.65" customHeight="1">
      <c r="A79" s="8" t="s">
        <v>29</v>
      </c>
      <c r="B79" s="109" t="s">
        <v>78</v>
      </c>
      <c r="C79" s="109"/>
      <c r="D79" s="109"/>
      <c r="E79" s="109"/>
      <c r="F79" s="109"/>
      <c r="G79" s="109"/>
      <c r="H79" s="109"/>
      <c r="I79" s="109"/>
      <c r="J79" s="16">
        <f>ROUND($I$49*J78,2)</f>
        <v>0.65</v>
      </c>
    </row>
    <row r="80" spans="1:12" ht="36.25" customHeight="1">
      <c r="A80" s="8" t="s">
        <v>53</v>
      </c>
      <c r="B80" s="109" t="s">
        <v>137</v>
      </c>
      <c r="C80" s="109"/>
      <c r="D80" s="109"/>
      <c r="E80" s="109"/>
      <c r="F80" s="109"/>
      <c r="G80" s="109"/>
      <c r="H80" s="109"/>
      <c r="I80" s="30">
        <v>3.7600000000000001E-2</v>
      </c>
      <c r="J80" s="16">
        <f>ROUND($J$30*I80,2)</f>
        <v>72.25</v>
      </c>
    </row>
    <row r="81" spans="1:10" ht="13">
      <c r="A81" s="105" t="s">
        <v>40</v>
      </c>
      <c r="B81" s="105"/>
      <c r="C81" s="105"/>
      <c r="D81" s="105"/>
      <c r="E81" s="105"/>
      <c r="F81" s="105"/>
      <c r="G81" s="105"/>
      <c r="H81" s="105"/>
      <c r="I81" s="105"/>
      <c r="J81" s="14">
        <f>SUM(J75:J80)</f>
        <v>81.448241666666661</v>
      </c>
    </row>
    <row r="82" spans="1:10" ht="13">
      <c r="A82" s="101"/>
      <c r="B82" s="101"/>
      <c r="C82" s="101"/>
      <c r="D82" s="101"/>
      <c r="E82" s="101"/>
      <c r="F82" s="101"/>
      <c r="G82" s="101"/>
      <c r="H82" s="101"/>
      <c r="I82" s="101"/>
      <c r="J82" s="101"/>
    </row>
    <row r="83" spans="1:10" ht="16.149999999999999" customHeight="1">
      <c r="A83" s="112" t="s">
        <v>79</v>
      </c>
      <c r="B83" s="112"/>
      <c r="C83" s="112"/>
      <c r="D83" s="112"/>
      <c r="E83" s="112"/>
      <c r="F83" s="112"/>
      <c r="G83" s="112"/>
      <c r="H83" s="112"/>
      <c r="I83" s="112"/>
      <c r="J83" s="112"/>
    </row>
    <row r="84" spans="1:10" ht="15" customHeight="1">
      <c r="A84" s="119" t="s">
        <v>80</v>
      </c>
      <c r="B84" s="119"/>
      <c r="C84" s="119"/>
      <c r="D84" s="119"/>
      <c r="E84" s="119"/>
      <c r="F84" s="119"/>
      <c r="G84" s="119"/>
      <c r="H84" s="119"/>
      <c r="I84" s="119"/>
      <c r="J84" s="31">
        <f>J87+J30+J35+J36</f>
        <v>2314.21</v>
      </c>
    </row>
    <row r="85" spans="1:10" ht="14.65" customHeight="1">
      <c r="A85" s="120"/>
      <c r="B85" s="120"/>
      <c r="C85" s="120"/>
      <c r="D85" s="120"/>
      <c r="E85" s="120"/>
      <c r="F85" s="120"/>
      <c r="G85" s="120"/>
      <c r="H85" s="120"/>
      <c r="I85" s="120"/>
      <c r="J85" s="120"/>
    </row>
    <row r="86" spans="1:10" ht="14">
      <c r="A86" s="32" t="s">
        <v>81</v>
      </c>
      <c r="B86" s="113" t="s">
        <v>82</v>
      </c>
      <c r="C86" s="113"/>
      <c r="D86" s="113"/>
      <c r="E86" s="113"/>
      <c r="F86" s="113"/>
      <c r="G86" s="113"/>
      <c r="H86" s="113"/>
      <c r="I86" s="113"/>
      <c r="J86" s="32" t="s">
        <v>37</v>
      </c>
    </row>
    <row r="87" spans="1:10" ht="12.75" customHeight="1">
      <c r="A87" s="12" t="s">
        <v>5</v>
      </c>
      <c r="B87" s="109" t="s">
        <v>83</v>
      </c>
      <c r="C87" s="109"/>
      <c r="D87" s="109"/>
      <c r="E87" s="109"/>
      <c r="F87" s="109"/>
      <c r="G87" s="109"/>
      <c r="H87" s="109"/>
      <c r="I87" s="33">
        <f>12.1%-I36</f>
        <v>9.0749999999999997E-2</v>
      </c>
      <c r="J87" s="16">
        <f>ROUND(($J$30*I87),2)</f>
        <v>174.39</v>
      </c>
    </row>
    <row r="88" spans="1:10" ht="13">
      <c r="A88" s="12" t="s">
        <v>7</v>
      </c>
      <c r="B88" s="104" t="s">
        <v>131</v>
      </c>
      <c r="C88" s="104"/>
      <c r="D88" s="104"/>
      <c r="E88" s="104"/>
      <c r="F88" s="104"/>
      <c r="G88" s="104"/>
      <c r="H88" s="104"/>
      <c r="I88" s="104"/>
      <c r="J88" s="34">
        <f>J84/30*0.1/12</f>
        <v>0.64283611111111105</v>
      </c>
    </row>
    <row r="89" spans="1:10" ht="13">
      <c r="A89" s="12" t="s">
        <v>9</v>
      </c>
      <c r="B89" s="104" t="s">
        <v>84</v>
      </c>
      <c r="C89" s="104"/>
      <c r="D89" s="104"/>
      <c r="E89" s="104"/>
      <c r="F89" s="104"/>
      <c r="G89" s="104"/>
      <c r="H89" s="104"/>
      <c r="I89" s="104"/>
      <c r="J89" s="34">
        <f>J84/30*5/12*1.5%</f>
        <v>0.48212708333333332</v>
      </c>
    </row>
    <row r="90" spans="1:10" ht="13">
      <c r="A90" s="12" t="s">
        <v>12</v>
      </c>
      <c r="B90" s="104" t="s">
        <v>85</v>
      </c>
      <c r="C90" s="104"/>
      <c r="D90" s="104"/>
      <c r="E90" s="104"/>
      <c r="F90" s="104"/>
      <c r="G90" s="104"/>
      <c r="H90" s="104"/>
      <c r="I90" s="104"/>
      <c r="J90" s="13">
        <f>J84/30*15/12*0.78%</f>
        <v>0.75211824999999999</v>
      </c>
    </row>
    <row r="91" spans="1:10" ht="13">
      <c r="A91" s="12" t="s">
        <v>29</v>
      </c>
      <c r="B91" s="104" t="s">
        <v>86</v>
      </c>
      <c r="C91" s="104"/>
      <c r="D91" s="104"/>
      <c r="E91" s="104"/>
      <c r="F91" s="104"/>
      <c r="G91" s="104"/>
      <c r="H91" s="104"/>
      <c r="I91" s="104"/>
      <c r="J91" s="16">
        <f>(J30+J36)/12*4/12*1%</f>
        <v>0.54993055555555548</v>
      </c>
    </row>
    <row r="92" spans="1:10" ht="13">
      <c r="A92" s="35" t="s">
        <v>53</v>
      </c>
      <c r="B92" s="118" t="s">
        <v>87</v>
      </c>
      <c r="C92" s="118"/>
      <c r="D92" s="118"/>
      <c r="E92" s="118"/>
      <c r="F92" s="118"/>
      <c r="G92" s="118"/>
      <c r="H92" s="118"/>
      <c r="I92" s="118"/>
      <c r="J92" s="13">
        <f>J84/30*0.15/12</f>
        <v>0.96425416666666663</v>
      </c>
    </row>
    <row r="93" spans="1:10" ht="13">
      <c r="A93" s="105" t="s">
        <v>40</v>
      </c>
      <c r="B93" s="105"/>
      <c r="C93" s="105"/>
      <c r="D93" s="105"/>
      <c r="E93" s="105"/>
      <c r="F93" s="105"/>
      <c r="G93" s="105"/>
      <c r="H93" s="105"/>
      <c r="I93" s="105"/>
      <c r="J93" s="36">
        <f>SUM(J87:J92)</f>
        <v>177.78126616666665</v>
      </c>
    </row>
    <row r="94" spans="1:10" ht="14.65" customHeight="1">
      <c r="A94" s="12"/>
      <c r="B94" s="104"/>
      <c r="C94" s="104"/>
      <c r="D94" s="104"/>
      <c r="E94" s="104"/>
      <c r="F94" s="104"/>
      <c r="G94" s="104"/>
      <c r="H94" s="104"/>
      <c r="I94" s="104"/>
      <c r="J94" s="13"/>
    </row>
    <row r="95" spans="1:10" ht="13">
      <c r="A95" s="105" t="s">
        <v>40</v>
      </c>
      <c r="B95" s="105"/>
      <c r="C95" s="105"/>
      <c r="D95" s="105"/>
      <c r="E95" s="105"/>
      <c r="F95" s="105"/>
      <c r="G95" s="105"/>
      <c r="H95" s="105"/>
      <c r="I95" s="105"/>
      <c r="J95" s="14">
        <f>SUM(J93:J94)</f>
        <v>177.78126616666665</v>
      </c>
    </row>
    <row r="96" spans="1:10" ht="16.149999999999999" customHeight="1">
      <c r="A96" s="112" t="s">
        <v>88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14">
      <c r="A97" s="63" t="s">
        <v>89</v>
      </c>
      <c r="B97" s="113" t="s">
        <v>90</v>
      </c>
      <c r="C97" s="113"/>
      <c r="D97" s="113"/>
      <c r="E97" s="113"/>
      <c r="F97" s="113"/>
      <c r="G97" s="113"/>
      <c r="H97" s="113"/>
      <c r="I97" s="113"/>
      <c r="J97" s="37" t="s">
        <v>37</v>
      </c>
    </row>
    <row r="98" spans="1:10" ht="13">
      <c r="A98" s="8" t="s">
        <v>5</v>
      </c>
      <c r="B98" s="104" t="s">
        <v>91</v>
      </c>
      <c r="C98" s="104"/>
      <c r="D98" s="104"/>
      <c r="E98" s="104"/>
      <c r="F98" s="104"/>
      <c r="G98" s="104"/>
      <c r="H98" s="104"/>
      <c r="I98" s="104"/>
      <c r="J98" s="16">
        <v>0</v>
      </c>
    </row>
    <row r="99" spans="1:10" ht="13">
      <c r="A99" s="117" t="s">
        <v>40</v>
      </c>
      <c r="B99" s="117"/>
      <c r="C99" s="117"/>
      <c r="D99" s="117"/>
      <c r="E99" s="117"/>
      <c r="F99" s="117"/>
      <c r="G99" s="117"/>
      <c r="H99" s="117"/>
      <c r="I99" s="117"/>
      <c r="J99" s="16">
        <v>0</v>
      </c>
    </row>
    <row r="100" spans="1:10" ht="13">
      <c r="A100" s="12"/>
      <c r="B100" s="104"/>
      <c r="C100" s="104"/>
      <c r="D100" s="104"/>
      <c r="E100" s="104"/>
      <c r="F100" s="104"/>
      <c r="G100" s="104"/>
      <c r="H100" s="104"/>
      <c r="I100" s="104"/>
      <c r="J100" s="13"/>
    </row>
    <row r="101" spans="1:10" ht="13">
      <c r="A101" s="105" t="s">
        <v>40</v>
      </c>
      <c r="B101" s="105"/>
      <c r="C101" s="105"/>
      <c r="D101" s="105"/>
      <c r="E101" s="105"/>
      <c r="F101" s="105"/>
      <c r="G101" s="105"/>
      <c r="H101" s="105"/>
      <c r="I101" s="105"/>
      <c r="J101" s="14">
        <f>SUM(J99:J100)</f>
        <v>0</v>
      </c>
    </row>
    <row r="102" spans="1:10" ht="13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</row>
    <row r="103" spans="1:10" ht="16.149999999999999" customHeight="1">
      <c r="A103" s="112" t="s">
        <v>92</v>
      </c>
      <c r="B103" s="112"/>
      <c r="C103" s="112"/>
      <c r="D103" s="112"/>
      <c r="E103" s="112"/>
      <c r="F103" s="112"/>
      <c r="G103" s="112"/>
      <c r="H103" s="112"/>
      <c r="I103" s="112"/>
      <c r="J103" s="112"/>
    </row>
    <row r="104" spans="1:10" ht="16.149999999999999" customHeight="1">
      <c r="A104" s="64">
        <v>4</v>
      </c>
      <c r="B104" s="115" t="s">
        <v>93</v>
      </c>
      <c r="C104" s="115"/>
      <c r="D104" s="115"/>
      <c r="E104" s="115"/>
      <c r="F104" s="115"/>
      <c r="G104" s="115"/>
      <c r="H104" s="115"/>
      <c r="I104" s="115"/>
      <c r="J104" s="37" t="s">
        <v>37</v>
      </c>
    </row>
    <row r="105" spans="1:10" ht="14.65" customHeight="1">
      <c r="A105" s="1" t="s">
        <v>81</v>
      </c>
      <c r="B105" s="109" t="s">
        <v>94</v>
      </c>
      <c r="C105" s="109"/>
      <c r="D105" s="109"/>
      <c r="E105" s="109"/>
      <c r="F105" s="109"/>
      <c r="G105" s="109"/>
      <c r="H105" s="109"/>
      <c r="I105" s="109"/>
      <c r="J105" s="16">
        <f>J95</f>
        <v>177.78126616666665</v>
      </c>
    </row>
    <row r="106" spans="1:10" ht="14.65" customHeight="1">
      <c r="A106" s="1" t="s">
        <v>95</v>
      </c>
      <c r="B106" s="109" t="s">
        <v>96</v>
      </c>
      <c r="C106" s="109"/>
      <c r="D106" s="109"/>
      <c r="E106" s="109"/>
      <c r="F106" s="109"/>
      <c r="G106" s="109"/>
      <c r="H106" s="109"/>
      <c r="I106" s="109"/>
      <c r="J106" s="16">
        <f>J101</f>
        <v>0</v>
      </c>
    </row>
    <row r="107" spans="1:10" ht="14.65" customHeight="1">
      <c r="A107" s="116" t="s">
        <v>40</v>
      </c>
      <c r="B107" s="116"/>
      <c r="C107" s="116"/>
      <c r="D107" s="116"/>
      <c r="E107" s="116"/>
      <c r="F107" s="116"/>
      <c r="G107" s="116"/>
      <c r="H107" s="116"/>
      <c r="I107" s="116"/>
      <c r="J107" s="14">
        <f>SUM(J105+J106)</f>
        <v>177.78126616666665</v>
      </c>
    </row>
    <row r="108" spans="1:10" ht="13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</row>
    <row r="109" spans="1:10" ht="16.149999999999999" customHeight="1">
      <c r="A109" s="112" t="s">
        <v>97</v>
      </c>
      <c r="B109" s="112"/>
      <c r="C109" s="112"/>
      <c r="D109" s="112"/>
      <c r="E109" s="112"/>
      <c r="F109" s="112"/>
      <c r="G109" s="112"/>
      <c r="H109" s="112"/>
      <c r="I109" s="112"/>
      <c r="J109" s="112"/>
    </row>
    <row r="110" spans="1:10" ht="16.149999999999999" customHeight="1">
      <c r="A110" s="63">
        <v>5</v>
      </c>
      <c r="B110" s="113" t="s">
        <v>98</v>
      </c>
      <c r="C110" s="113"/>
      <c r="D110" s="113"/>
      <c r="E110" s="113"/>
      <c r="F110" s="113"/>
      <c r="G110" s="113"/>
      <c r="H110" s="113"/>
      <c r="I110" s="113"/>
      <c r="J110" s="63" t="s">
        <v>37</v>
      </c>
    </row>
    <row r="111" spans="1:10" ht="13">
      <c r="A111" s="8" t="s">
        <v>5</v>
      </c>
      <c r="B111" s="104" t="s">
        <v>185</v>
      </c>
      <c r="C111" s="104"/>
      <c r="D111" s="104"/>
      <c r="E111" s="104"/>
      <c r="F111" s="104"/>
      <c r="G111" s="104"/>
      <c r="H111" s="104"/>
      <c r="I111" s="104"/>
      <c r="J111" s="16">
        <f>Descritivo!E48</f>
        <v>91.369065656565652</v>
      </c>
    </row>
    <row r="112" spans="1:10" ht="13">
      <c r="A112" s="8" t="s">
        <v>7</v>
      </c>
      <c r="B112" s="104" t="s">
        <v>99</v>
      </c>
      <c r="C112" s="104"/>
      <c r="D112" s="104"/>
      <c r="E112" s="104"/>
      <c r="F112" s="104"/>
      <c r="G112" s="104"/>
      <c r="H112" s="104"/>
      <c r="I112" s="104"/>
      <c r="J112" s="27">
        <f>Descritivo!D93</f>
        <v>116.16919191919192</v>
      </c>
    </row>
    <row r="113" spans="1:10" ht="13">
      <c r="A113" s="8" t="s">
        <v>9</v>
      </c>
      <c r="B113" s="104" t="s">
        <v>139</v>
      </c>
      <c r="C113" s="104"/>
      <c r="D113" s="104"/>
      <c r="E113" s="104"/>
      <c r="F113" s="104"/>
      <c r="G113" s="104"/>
      <c r="H113" s="104"/>
      <c r="I113" s="104"/>
      <c r="J113" s="27">
        <f>Descritivo!C101</f>
        <v>36.363636363636367</v>
      </c>
    </row>
    <row r="114" spans="1:10" ht="13">
      <c r="A114" s="8" t="s">
        <v>12</v>
      </c>
      <c r="B114" s="104" t="s">
        <v>100</v>
      </c>
      <c r="C114" s="104"/>
      <c r="D114" s="104"/>
      <c r="E114" s="104"/>
      <c r="F114" s="104"/>
      <c r="G114" s="104"/>
      <c r="H114" s="104"/>
      <c r="I114" s="104"/>
      <c r="J114" s="27"/>
    </row>
    <row r="115" spans="1:10" ht="13">
      <c r="A115" s="105" t="s">
        <v>32</v>
      </c>
      <c r="B115" s="105"/>
      <c r="C115" s="105"/>
      <c r="D115" s="105"/>
      <c r="E115" s="105"/>
      <c r="F115" s="105"/>
      <c r="G115" s="105"/>
      <c r="H115" s="105"/>
      <c r="I115" s="105"/>
      <c r="J115" s="38">
        <f>SUM(J111:J114)</f>
        <v>243.90189393939394</v>
      </c>
    </row>
    <row r="116" spans="1:10" ht="13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</row>
    <row r="117" spans="1:10" ht="16.149999999999999" customHeight="1">
      <c r="A117" s="112" t="s">
        <v>101</v>
      </c>
      <c r="B117" s="112"/>
      <c r="C117" s="112"/>
      <c r="D117" s="112"/>
      <c r="E117" s="112"/>
      <c r="F117" s="112"/>
      <c r="G117" s="112"/>
      <c r="H117" s="112"/>
      <c r="I117" s="112"/>
      <c r="J117" s="112"/>
    </row>
    <row r="118" spans="1:10" ht="28">
      <c r="A118" s="63">
        <v>6</v>
      </c>
      <c r="B118" s="113" t="s">
        <v>102</v>
      </c>
      <c r="C118" s="113"/>
      <c r="D118" s="113"/>
      <c r="E118" s="113"/>
      <c r="F118" s="113"/>
      <c r="G118" s="113"/>
      <c r="H118" s="113"/>
      <c r="I118" s="64" t="s">
        <v>44</v>
      </c>
      <c r="J118" s="39" t="s">
        <v>103</v>
      </c>
    </row>
    <row r="119" spans="1:10" ht="12.75" customHeight="1">
      <c r="A119" s="111" t="s">
        <v>104</v>
      </c>
      <c r="B119" s="111"/>
      <c r="C119" s="111"/>
      <c r="D119" s="111"/>
      <c r="E119" s="111"/>
      <c r="F119" s="111"/>
      <c r="G119" s="111"/>
      <c r="H119" s="111"/>
      <c r="I119" s="40" t="s">
        <v>64</v>
      </c>
      <c r="J119" s="41">
        <f>SUM(J30+J71+J81+J107+J115)</f>
        <v>3950.7614017727269</v>
      </c>
    </row>
    <row r="120" spans="1:10" ht="15.5">
      <c r="A120" s="42" t="s">
        <v>5</v>
      </c>
      <c r="B120" s="110" t="s">
        <v>105</v>
      </c>
      <c r="C120" s="110"/>
      <c r="D120" s="110"/>
      <c r="E120" s="110"/>
      <c r="F120" s="110"/>
      <c r="G120" s="110"/>
      <c r="H120" s="110"/>
      <c r="I120" s="15">
        <v>0.1091</v>
      </c>
      <c r="J120" s="16">
        <f>ROUND(I120*J119,2)</f>
        <v>431.03</v>
      </c>
    </row>
    <row r="121" spans="1:10" ht="12.75" customHeight="1">
      <c r="A121" s="111" t="s">
        <v>106</v>
      </c>
      <c r="B121" s="111"/>
      <c r="C121" s="111"/>
      <c r="D121" s="111"/>
      <c r="E121" s="111"/>
      <c r="F121" s="111"/>
      <c r="G121" s="111"/>
      <c r="H121" s="111"/>
      <c r="I121" s="43" t="s">
        <v>64</v>
      </c>
      <c r="J121" s="41">
        <f>SUM(J30+J71+J81+J107+J115+J120)</f>
        <v>4381.7914017727271</v>
      </c>
    </row>
    <row r="122" spans="1:10" ht="15.5">
      <c r="A122" s="42" t="s">
        <v>7</v>
      </c>
      <c r="B122" s="110" t="s">
        <v>107</v>
      </c>
      <c r="C122" s="110"/>
      <c r="D122" s="110"/>
      <c r="E122" s="110"/>
      <c r="F122" s="110"/>
      <c r="G122" s="110"/>
      <c r="H122" s="110"/>
      <c r="I122" s="20">
        <v>0.15109700000000001</v>
      </c>
      <c r="J122" s="16">
        <f>ROUND(I122*J121,2)</f>
        <v>662.08</v>
      </c>
    </row>
    <row r="123" spans="1:10" ht="12.75" customHeight="1">
      <c r="A123" s="111" t="s">
        <v>108</v>
      </c>
      <c r="B123" s="111"/>
      <c r="C123" s="111"/>
      <c r="D123" s="111"/>
      <c r="E123" s="111"/>
      <c r="F123" s="111"/>
      <c r="G123" s="111"/>
      <c r="H123" s="111"/>
      <c r="I123" s="43" t="s">
        <v>64</v>
      </c>
      <c r="J123" s="41">
        <f>SUM(J30+J71+J81+J107+J115+J120+J122)</f>
        <v>5043.871401772727</v>
      </c>
    </row>
    <row r="124" spans="1:10" ht="15.5">
      <c r="A124" s="42" t="s">
        <v>9</v>
      </c>
      <c r="B124" s="110" t="s">
        <v>109</v>
      </c>
      <c r="C124" s="110"/>
      <c r="D124" s="110"/>
      <c r="E124" s="110"/>
      <c r="F124" s="110"/>
      <c r="G124" s="110"/>
      <c r="H124" s="110"/>
      <c r="I124" s="9" t="s">
        <v>64</v>
      </c>
      <c r="J124" s="51" t="s">
        <v>64</v>
      </c>
    </row>
    <row r="125" spans="1:10" ht="13">
      <c r="A125" s="8"/>
      <c r="B125" s="104" t="s">
        <v>110</v>
      </c>
      <c r="C125" s="104"/>
      <c r="D125" s="104"/>
      <c r="E125" s="104"/>
      <c r="F125" s="104"/>
      <c r="G125" s="104"/>
      <c r="H125" s="104"/>
      <c r="I125" s="9" t="s">
        <v>64</v>
      </c>
      <c r="J125" s="51" t="s">
        <v>64</v>
      </c>
    </row>
    <row r="126" spans="1:10" ht="13">
      <c r="A126" s="8"/>
      <c r="B126" s="104" t="s">
        <v>111</v>
      </c>
      <c r="C126" s="104"/>
      <c r="D126" s="104"/>
      <c r="E126" s="104"/>
      <c r="F126" s="104"/>
      <c r="G126" s="104"/>
      <c r="H126" s="104"/>
      <c r="I126" s="44">
        <v>0.03</v>
      </c>
      <c r="J126" s="16">
        <f>ROUND(($J$123/(1-$I$135))*I126,2)</f>
        <v>165.64</v>
      </c>
    </row>
    <row r="127" spans="1:10" ht="13">
      <c r="A127" s="8"/>
      <c r="B127" s="104" t="s">
        <v>112</v>
      </c>
      <c r="C127" s="104"/>
      <c r="D127" s="104"/>
      <c r="E127" s="104"/>
      <c r="F127" s="104"/>
      <c r="G127" s="104"/>
      <c r="H127" s="104"/>
      <c r="I127" s="44">
        <v>6.4999999999999997E-3</v>
      </c>
      <c r="J127" s="16">
        <f>ROUND(($J$123/(1-$I$135))*I127,2)</f>
        <v>35.89</v>
      </c>
    </row>
    <row r="128" spans="1:10" ht="27.65" customHeight="1">
      <c r="A128" s="8"/>
      <c r="B128" s="109" t="s">
        <v>113</v>
      </c>
      <c r="C128" s="109"/>
      <c r="D128" s="109"/>
      <c r="E128" s="109"/>
      <c r="F128" s="109"/>
      <c r="G128" s="109"/>
      <c r="H128" s="109"/>
      <c r="I128" s="45" t="s">
        <v>64</v>
      </c>
      <c r="J128" s="51" t="s">
        <v>64</v>
      </c>
    </row>
    <row r="129" spans="1:10" ht="27.65" customHeight="1">
      <c r="A129" s="8"/>
      <c r="B129" s="109" t="s">
        <v>114</v>
      </c>
      <c r="C129" s="109"/>
      <c r="D129" s="109"/>
      <c r="E129" s="109"/>
      <c r="F129" s="109"/>
      <c r="G129" s="109"/>
      <c r="H129" s="109"/>
      <c r="I129" s="45" t="s">
        <v>64</v>
      </c>
      <c r="J129" s="51" t="s">
        <v>64</v>
      </c>
    </row>
    <row r="130" spans="1:10" ht="13">
      <c r="A130" s="8"/>
      <c r="B130" s="104" t="s">
        <v>115</v>
      </c>
      <c r="C130" s="104"/>
      <c r="D130" s="104"/>
      <c r="E130" s="104"/>
      <c r="F130" s="104"/>
      <c r="G130" s="104"/>
      <c r="H130" s="104"/>
      <c r="I130" s="45" t="s">
        <v>64</v>
      </c>
      <c r="J130" s="51" t="s">
        <v>64</v>
      </c>
    </row>
    <row r="131" spans="1:10" ht="13">
      <c r="A131" s="8"/>
      <c r="B131" s="104" t="s">
        <v>116</v>
      </c>
      <c r="C131" s="104"/>
      <c r="D131" s="104"/>
      <c r="E131" s="104"/>
      <c r="F131" s="104"/>
      <c r="G131" s="104"/>
      <c r="H131" s="104"/>
      <c r="I131" s="45" t="s">
        <v>64</v>
      </c>
      <c r="J131" s="51" t="s">
        <v>64</v>
      </c>
    </row>
    <row r="132" spans="1:10" ht="13">
      <c r="A132" s="8"/>
      <c r="B132" s="104" t="s">
        <v>134</v>
      </c>
      <c r="C132" s="104"/>
      <c r="D132" s="104"/>
      <c r="E132" s="104"/>
      <c r="F132" s="104"/>
      <c r="G132" s="104"/>
      <c r="H132" s="104"/>
      <c r="I132" s="44">
        <v>0.05</v>
      </c>
      <c r="J132" s="16">
        <f>ROUND(($J$123/(1-$I$135))*I132,2)</f>
        <v>276.07</v>
      </c>
    </row>
    <row r="133" spans="1:10" ht="13">
      <c r="A133" s="105" t="s">
        <v>40</v>
      </c>
      <c r="B133" s="105"/>
      <c r="C133" s="105"/>
      <c r="D133" s="105"/>
      <c r="E133" s="105"/>
      <c r="F133" s="105"/>
      <c r="G133" s="105"/>
      <c r="H133" s="105"/>
      <c r="I133" s="105"/>
      <c r="J133" s="14">
        <f>SUM(J120+J122+J126+J127+J132)</f>
        <v>1570.71</v>
      </c>
    </row>
    <row r="134" spans="1:10" ht="13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</row>
    <row r="135" spans="1:10" ht="14.65" customHeight="1">
      <c r="A135" s="106" t="s">
        <v>117</v>
      </c>
      <c r="B135" s="106"/>
      <c r="C135" s="106"/>
      <c r="D135" s="106"/>
      <c r="E135" s="106"/>
      <c r="F135" s="106"/>
      <c r="G135" s="106"/>
      <c r="H135" s="106"/>
      <c r="I135" s="46">
        <f>SUM(I126:I132)</f>
        <v>8.6499999999999994E-2</v>
      </c>
      <c r="J135" s="41">
        <f>SUM(J126:J132)</f>
        <v>477.59999999999997</v>
      </c>
    </row>
    <row r="136" spans="1:10">
      <c r="A136" s="107" t="s">
        <v>118</v>
      </c>
      <c r="B136" s="107"/>
      <c r="C136" s="107"/>
      <c r="D136" s="108" t="s">
        <v>119</v>
      </c>
      <c r="E136" s="108"/>
      <c r="F136" s="108"/>
      <c r="G136" s="108"/>
      <c r="H136" s="108"/>
      <c r="I136" s="108"/>
      <c r="J136" s="108"/>
    </row>
    <row r="137" spans="1:10">
      <c r="A137" s="107"/>
      <c r="B137" s="107"/>
      <c r="C137" s="107"/>
      <c r="D137" s="108" t="s">
        <v>120</v>
      </c>
      <c r="E137" s="108"/>
      <c r="F137" s="108"/>
      <c r="G137" s="108"/>
      <c r="H137" s="108"/>
      <c r="I137" s="108"/>
      <c r="J137" s="108"/>
    </row>
    <row r="138" spans="1:10">
      <c r="A138" s="107"/>
      <c r="B138" s="107"/>
      <c r="C138" s="107"/>
      <c r="D138" s="108" t="s">
        <v>121</v>
      </c>
      <c r="E138" s="108"/>
      <c r="F138" s="108"/>
      <c r="G138" s="108"/>
      <c r="H138" s="108"/>
      <c r="I138" s="108"/>
      <c r="J138" s="108"/>
    </row>
    <row r="139" spans="1:10" ht="13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</row>
    <row r="140" spans="1:10" ht="46" customHeight="1">
      <c r="A140" s="102" t="s">
        <v>122</v>
      </c>
      <c r="B140" s="102"/>
      <c r="C140" s="102"/>
      <c r="D140" s="102"/>
      <c r="E140" s="102"/>
      <c r="F140" s="102"/>
      <c r="G140" s="102"/>
      <c r="H140" s="102"/>
      <c r="I140" s="102"/>
      <c r="J140" s="102"/>
    </row>
    <row r="141" spans="1:10" ht="14.65" customHeight="1">
      <c r="A141" s="103" t="s">
        <v>123</v>
      </c>
      <c r="B141" s="103"/>
      <c r="C141" s="103"/>
      <c r="D141" s="103"/>
      <c r="E141" s="103"/>
      <c r="F141" s="103"/>
      <c r="G141" s="103"/>
      <c r="H141" s="103"/>
      <c r="I141" s="103"/>
      <c r="J141" s="47" t="s">
        <v>37</v>
      </c>
    </row>
    <row r="142" spans="1:10" ht="14.65" customHeight="1">
      <c r="A142" s="48" t="s">
        <v>5</v>
      </c>
      <c r="B142" s="99" t="s">
        <v>124</v>
      </c>
      <c r="C142" s="99"/>
      <c r="D142" s="99"/>
      <c r="E142" s="99"/>
      <c r="F142" s="99"/>
      <c r="G142" s="99"/>
      <c r="H142" s="99"/>
      <c r="I142" s="99"/>
      <c r="J142" s="27">
        <f>J30</f>
        <v>1921.62</v>
      </c>
    </row>
    <row r="143" spans="1:10" ht="14.65" customHeight="1">
      <c r="A143" s="48" t="s">
        <v>7</v>
      </c>
      <c r="B143" s="99" t="s">
        <v>33</v>
      </c>
      <c r="C143" s="99"/>
      <c r="D143" s="99"/>
      <c r="E143" s="99"/>
      <c r="F143" s="99"/>
      <c r="G143" s="99"/>
      <c r="H143" s="99"/>
      <c r="I143" s="99"/>
      <c r="J143" s="27">
        <f>J71</f>
        <v>1526.0099999999998</v>
      </c>
    </row>
    <row r="144" spans="1:10" ht="14.65" customHeight="1">
      <c r="A144" s="48" t="s">
        <v>9</v>
      </c>
      <c r="B144" s="99" t="s">
        <v>125</v>
      </c>
      <c r="C144" s="99"/>
      <c r="D144" s="99"/>
      <c r="E144" s="99"/>
      <c r="F144" s="99"/>
      <c r="G144" s="99"/>
      <c r="H144" s="99"/>
      <c r="I144" s="99"/>
      <c r="J144" s="27">
        <f>J81</f>
        <v>81.448241666666661</v>
      </c>
    </row>
    <row r="145" spans="1:12" ht="14.65" customHeight="1">
      <c r="A145" s="48" t="s">
        <v>12</v>
      </c>
      <c r="B145" s="99" t="s">
        <v>126</v>
      </c>
      <c r="C145" s="99"/>
      <c r="D145" s="99"/>
      <c r="E145" s="99"/>
      <c r="F145" s="99"/>
      <c r="G145" s="99"/>
      <c r="H145" s="99"/>
      <c r="I145" s="99"/>
      <c r="J145" s="27">
        <f>J107</f>
        <v>177.78126616666665</v>
      </c>
    </row>
    <row r="146" spans="1:12" ht="14.65" customHeight="1">
      <c r="A146" s="48" t="s">
        <v>29</v>
      </c>
      <c r="B146" s="99" t="s">
        <v>127</v>
      </c>
      <c r="C146" s="99"/>
      <c r="D146" s="99"/>
      <c r="E146" s="99"/>
      <c r="F146" s="99"/>
      <c r="G146" s="99"/>
      <c r="H146" s="99"/>
      <c r="I146" s="99"/>
      <c r="J146" s="27">
        <f>J115</f>
        <v>243.90189393939394</v>
      </c>
    </row>
    <row r="147" spans="1:12" ht="14.65" customHeight="1">
      <c r="A147" s="100" t="s">
        <v>128</v>
      </c>
      <c r="B147" s="100"/>
      <c r="C147" s="100"/>
      <c r="D147" s="100"/>
      <c r="E147" s="100"/>
      <c r="F147" s="100"/>
      <c r="G147" s="100"/>
      <c r="H147" s="100"/>
      <c r="I147" s="100"/>
      <c r="J147" s="38">
        <f>SUM(J142:J146)</f>
        <v>3950.7614017727269</v>
      </c>
    </row>
    <row r="148" spans="1:12" ht="14.65" customHeight="1">
      <c r="A148" s="48" t="s">
        <v>53</v>
      </c>
      <c r="B148" s="99" t="s">
        <v>129</v>
      </c>
      <c r="C148" s="99"/>
      <c r="D148" s="99"/>
      <c r="E148" s="99"/>
      <c r="F148" s="99"/>
      <c r="G148" s="99"/>
      <c r="H148" s="99"/>
      <c r="I148" s="99"/>
      <c r="J148" s="27">
        <f>J133</f>
        <v>1570.71</v>
      </c>
    </row>
    <row r="149" spans="1:12" ht="14.65" customHeight="1">
      <c r="A149" s="100" t="s">
        <v>130</v>
      </c>
      <c r="B149" s="100"/>
      <c r="C149" s="100"/>
      <c r="D149" s="100"/>
      <c r="E149" s="100"/>
      <c r="F149" s="100"/>
      <c r="G149" s="100"/>
      <c r="H149" s="100"/>
      <c r="I149" s="100"/>
      <c r="J149" s="38">
        <f>SUM(J147:J148)</f>
        <v>5521.4714017727274</v>
      </c>
    </row>
    <row r="150" spans="1:12" ht="27.5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A1:J1"/>
    <mergeCell ref="A2:J2"/>
    <mergeCell ref="A3:G3"/>
    <mergeCell ref="H3:J3"/>
    <mergeCell ref="A4:G4"/>
    <mergeCell ref="H4:J4"/>
    <mergeCell ref="B61:H61"/>
    <mergeCell ref="B62:H62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60:H60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249C1-0722-457A-851C-AFC97FC3EA8C}">
  <sheetPr codeName="Planilha12">
    <tabColor rgb="FF0070C0"/>
  </sheetPr>
  <dimension ref="A1:Q172"/>
  <sheetViews>
    <sheetView showGridLines="0" view="pageBreakPreview" topLeftCell="A34" zoomScaleNormal="100" zoomScaleSheetLayoutView="100" zoomScalePageLayoutView="95" workbookViewId="0">
      <selection activeCell="J64" sqref="J64"/>
    </sheetView>
  </sheetViews>
  <sheetFormatPr defaultRowHeight="12.5"/>
  <cols>
    <col min="1" max="9" width="8.7265625" customWidth="1"/>
    <col min="10" max="10" width="15.453125" customWidth="1"/>
    <col min="11" max="11" width="17.453125" customWidth="1"/>
    <col min="12" max="12" width="17" customWidth="1"/>
    <col min="13" max="16" width="8.7265625" customWidth="1"/>
    <col min="17" max="17" width="10.81640625" customWidth="1"/>
    <col min="18" max="1025" width="8.7265625" customWidth="1"/>
  </cols>
  <sheetData>
    <row r="1" spans="1:12" ht="24.25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2" ht="46.5" customHeight="1">
      <c r="A2" s="136" t="s">
        <v>297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2" ht="14.65" customHeight="1">
      <c r="A3" s="109" t="s">
        <v>1</v>
      </c>
      <c r="B3" s="109"/>
      <c r="C3" s="109"/>
      <c r="D3" s="109"/>
      <c r="E3" s="109"/>
      <c r="F3" s="109"/>
      <c r="G3" s="109"/>
      <c r="H3" s="138" t="s">
        <v>145</v>
      </c>
      <c r="I3" s="139"/>
      <c r="J3" s="139"/>
    </row>
    <row r="4" spans="1:12" ht="14.65" customHeight="1">
      <c r="A4" s="109" t="s">
        <v>2</v>
      </c>
      <c r="B4" s="109"/>
      <c r="C4" s="109"/>
      <c r="D4" s="109"/>
      <c r="E4" s="109"/>
      <c r="F4" s="109"/>
      <c r="G4" s="109"/>
      <c r="H4" s="140" t="s">
        <v>144</v>
      </c>
      <c r="I4" s="139"/>
      <c r="J4" s="139"/>
    </row>
    <row r="5" spans="1:12" ht="14.65" customHeight="1">
      <c r="A5" s="109" t="s">
        <v>3</v>
      </c>
      <c r="B5" s="109"/>
      <c r="C5" s="109"/>
      <c r="D5" s="109"/>
      <c r="E5" s="109"/>
      <c r="F5" s="109"/>
      <c r="G5" s="109"/>
      <c r="H5" s="109"/>
      <c r="I5" s="109"/>
      <c r="J5" s="109"/>
    </row>
    <row r="6" spans="1:12" ht="16.149999999999999" customHeight="1">
      <c r="A6" s="142" t="s">
        <v>4</v>
      </c>
      <c r="B6" s="142"/>
      <c r="C6" s="142"/>
      <c r="D6" s="142"/>
      <c r="E6" s="142"/>
      <c r="F6" s="142"/>
      <c r="G6" s="142"/>
      <c r="H6" s="142"/>
      <c r="I6" s="142"/>
      <c r="J6" s="142"/>
    </row>
    <row r="7" spans="1:12" ht="14.65" customHeight="1">
      <c r="A7" s="1" t="s">
        <v>5</v>
      </c>
      <c r="B7" s="109" t="s">
        <v>6</v>
      </c>
      <c r="C7" s="109"/>
      <c r="D7" s="109"/>
      <c r="E7" s="109"/>
      <c r="F7" s="109"/>
      <c r="G7" s="109"/>
      <c r="H7" s="141">
        <v>44029</v>
      </c>
      <c r="I7" s="141"/>
      <c r="J7" s="141"/>
    </row>
    <row r="8" spans="1:12" ht="14.65" customHeight="1">
      <c r="A8" s="1" t="s">
        <v>7</v>
      </c>
      <c r="B8" s="109" t="s">
        <v>8</v>
      </c>
      <c r="C8" s="109"/>
      <c r="D8" s="109"/>
      <c r="E8" s="109"/>
      <c r="F8" s="109"/>
      <c r="G8" s="109"/>
      <c r="H8" s="141" t="s">
        <v>140</v>
      </c>
      <c r="I8" s="141"/>
      <c r="J8" s="141"/>
    </row>
    <row r="9" spans="1:12" ht="39" customHeight="1">
      <c r="A9" s="1" t="s">
        <v>9</v>
      </c>
      <c r="B9" s="109" t="s">
        <v>10</v>
      </c>
      <c r="C9" s="109"/>
      <c r="D9" s="109"/>
      <c r="E9" s="109"/>
      <c r="F9" s="109"/>
      <c r="G9" s="109"/>
      <c r="H9" s="141" t="s">
        <v>11</v>
      </c>
      <c r="I9" s="141"/>
      <c r="J9" s="141"/>
      <c r="L9" s="55"/>
    </row>
    <row r="10" spans="1:12" ht="14.65" customHeight="1">
      <c r="A10" s="1" t="s">
        <v>12</v>
      </c>
      <c r="B10" s="109" t="s">
        <v>13</v>
      </c>
      <c r="C10" s="109"/>
      <c r="D10" s="109"/>
      <c r="E10" s="109"/>
      <c r="F10" s="109"/>
      <c r="G10" s="109"/>
      <c r="H10" s="139">
        <v>12</v>
      </c>
      <c r="I10" s="139"/>
      <c r="J10" s="139"/>
    </row>
    <row r="11" spans="1:12" ht="13">
      <c r="A11" s="101"/>
      <c r="B11" s="101"/>
      <c r="C11" s="101"/>
      <c r="D11" s="101"/>
      <c r="E11" s="101"/>
      <c r="F11" s="101"/>
      <c r="G11" s="101"/>
      <c r="H11" s="101"/>
      <c r="I11" s="101"/>
      <c r="J11" s="101"/>
    </row>
    <row r="12" spans="1:12" ht="48.75" customHeight="1">
      <c r="A12" s="132" t="s">
        <v>14</v>
      </c>
      <c r="B12" s="132"/>
      <c r="C12" s="132"/>
      <c r="D12" s="132"/>
      <c r="E12" s="132"/>
      <c r="F12" s="132"/>
      <c r="G12" s="132"/>
      <c r="H12" s="132"/>
      <c r="I12" s="132"/>
      <c r="J12" s="132"/>
      <c r="L12" s="55"/>
    </row>
    <row r="13" spans="1:12" ht="13">
      <c r="A13" s="101"/>
      <c r="B13" s="101"/>
      <c r="C13" s="101"/>
      <c r="D13" s="101"/>
      <c r="E13" s="101"/>
      <c r="F13" s="101"/>
      <c r="G13" s="101"/>
      <c r="H13" s="101"/>
      <c r="I13" s="101"/>
      <c r="J13" s="101"/>
    </row>
    <row r="14" spans="1:12" ht="16.149999999999999" customHeight="1">
      <c r="A14" s="115" t="s">
        <v>15</v>
      </c>
      <c r="B14" s="115"/>
      <c r="C14" s="115"/>
      <c r="D14" s="115"/>
      <c r="E14" s="115"/>
      <c r="F14" s="115"/>
      <c r="G14" s="115"/>
      <c r="H14" s="115"/>
      <c r="I14" s="115"/>
      <c r="J14" s="115"/>
      <c r="L14" s="55"/>
    </row>
    <row r="15" spans="1:12" ht="16.149999999999999" customHeight="1">
      <c r="A15" s="1">
        <v>1</v>
      </c>
      <c r="B15" s="109" t="s">
        <v>16</v>
      </c>
      <c r="C15" s="109"/>
      <c r="D15" s="109"/>
      <c r="E15" s="109"/>
      <c r="F15" s="109"/>
      <c r="G15" s="109"/>
      <c r="H15" s="134" t="s">
        <v>17</v>
      </c>
      <c r="I15" s="134"/>
      <c r="J15" s="134"/>
    </row>
    <row r="16" spans="1:12" ht="16.149999999999999" customHeight="1">
      <c r="A16" s="1">
        <v>2</v>
      </c>
      <c r="B16" s="109" t="s">
        <v>18</v>
      </c>
      <c r="C16" s="109"/>
      <c r="D16" s="109"/>
      <c r="E16" s="109"/>
      <c r="F16" s="109"/>
      <c r="G16" s="109"/>
      <c r="H16" s="134">
        <v>9511</v>
      </c>
      <c r="I16" s="134"/>
      <c r="J16" s="134"/>
    </row>
    <row r="17" spans="1:17" ht="16.149999999999999" customHeight="1">
      <c r="A17" s="1">
        <v>3</v>
      </c>
      <c r="B17" s="109" t="s">
        <v>19</v>
      </c>
      <c r="C17" s="109"/>
      <c r="D17" s="109"/>
      <c r="E17" s="109"/>
      <c r="F17" s="109"/>
      <c r="G17" s="109"/>
      <c r="H17" s="143">
        <f>1212*6</f>
        <v>7272</v>
      </c>
      <c r="I17" s="143"/>
      <c r="J17" s="143"/>
    </row>
    <row r="18" spans="1:17" ht="16.149999999999999" customHeight="1">
      <c r="A18" s="1">
        <v>4</v>
      </c>
      <c r="B18" s="109" t="s">
        <v>20</v>
      </c>
      <c r="C18" s="109"/>
      <c r="D18" s="109"/>
      <c r="E18" s="109"/>
      <c r="F18" s="109"/>
      <c r="G18" s="109"/>
      <c r="H18" s="134" t="s">
        <v>142</v>
      </c>
      <c r="I18" s="134"/>
      <c r="J18" s="134"/>
    </row>
    <row r="19" spans="1:17" ht="16.149999999999999" customHeight="1">
      <c r="A19" s="1">
        <v>5</v>
      </c>
      <c r="B19" s="109" t="s">
        <v>21</v>
      </c>
      <c r="C19" s="109"/>
      <c r="D19" s="109"/>
      <c r="E19" s="109"/>
      <c r="F19" s="109"/>
      <c r="G19" s="109"/>
      <c r="H19" s="133" t="s">
        <v>141</v>
      </c>
      <c r="I19" s="133"/>
      <c r="J19" s="133"/>
    </row>
    <row r="20" spans="1:17" ht="16.149999999999999" customHeight="1">
      <c r="A20" s="1">
        <v>5</v>
      </c>
      <c r="B20" s="109" t="s">
        <v>133</v>
      </c>
      <c r="C20" s="109"/>
      <c r="D20" s="109"/>
      <c r="E20" s="109"/>
      <c r="F20" s="109"/>
      <c r="G20" s="109"/>
      <c r="H20" s="131">
        <v>16</v>
      </c>
      <c r="I20" s="131"/>
      <c r="J20" s="131"/>
    </row>
    <row r="21" spans="1:17" ht="13">
      <c r="A21" s="101"/>
      <c r="B21" s="101"/>
      <c r="C21" s="101"/>
      <c r="D21" s="101"/>
      <c r="E21" s="101"/>
      <c r="F21" s="101"/>
      <c r="G21" s="101"/>
      <c r="H21" s="101"/>
      <c r="I21" s="101"/>
      <c r="J21" s="101"/>
    </row>
    <row r="22" spans="1:17" ht="20.65" customHeight="1">
      <c r="A22" s="132" t="s">
        <v>22</v>
      </c>
      <c r="B22" s="132"/>
      <c r="C22" s="132"/>
      <c r="D22" s="132"/>
      <c r="E22" s="132"/>
      <c r="F22" s="132"/>
      <c r="G22" s="132"/>
      <c r="H22" s="132"/>
      <c r="I22" s="132"/>
      <c r="J22" s="132"/>
    </row>
    <row r="23" spans="1:17" ht="30.4" customHeight="1">
      <c r="A23" s="60">
        <v>1</v>
      </c>
      <c r="B23" s="115" t="s">
        <v>23</v>
      </c>
      <c r="C23" s="115"/>
      <c r="D23" s="115"/>
      <c r="E23" s="115"/>
      <c r="F23" s="115"/>
      <c r="G23" s="115"/>
      <c r="H23" s="115" t="s">
        <v>24</v>
      </c>
      <c r="I23" s="115"/>
      <c r="J23" s="60" t="s">
        <v>25</v>
      </c>
    </row>
    <row r="24" spans="1:17" ht="12.75" customHeight="1">
      <c r="A24" s="1" t="s">
        <v>5</v>
      </c>
      <c r="B24" s="109" t="s">
        <v>143</v>
      </c>
      <c r="C24" s="109"/>
      <c r="D24" s="109"/>
      <c r="E24" s="109"/>
      <c r="F24" s="109"/>
      <c r="G24" s="109"/>
      <c r="H24" s="109"/>
      <c r="I24" s="109"/>
      <c r="J24" s="2">
        <f>ROUND(H17/36*H20,2)</f>
        <v>3232</v>
      </c>
    </row>
    <row r="25" spans="1:17" ht="12.75" customHeight="1">
      <c r="A25" s="59" t="s">
        <v>7</v>
      </c>
      <c r="B25" s="109" t="s">
        <v>26</v>
      </c>
      <c r="C25" s="109"/>
      <c r="D25" s="109"/>
      <c r="E25" s="109"/>
      <c r="F25" s="109"/>
      <c r="G25" s="109"/>
      <c r="H25" s="109"/>
      <c r="I25" s="3"/>
      <c r="J25" s="2"/>
      <c r="K25" s="57"/>
    </row>
    <row r="26" spans="1:17" ht="12.75" customHeight="1">
      <c r="A26" s="59" t="s">
        <v>9</v>
      </c>
      <c r="B26" s="109" t="s">
        <v>27</v>
      </c>
      <c r="C26" s="109"/>
      <c r="D26" s="109"/>
      <c r="E26" s="109"/>
      <c r="F26" s="109"/>
      <c r="G26" s="109"/>
      <c r="H26" s="109"/>
      <c r="I26" s="109"/>
      <c r="J26" s="2"/>
    </row>
    <row r="27" spans="1:17" ht="12.75" customHeight="1">
      <c r="A27" s="59" t="s">
        <v>12</v>
      </c>
      <c r="B27" s="109" t="s">
        <v>28</v>
      </c>
      <c r="C27" s="109"/>
      <c r="D27" s="109"/>
      <c r="E27" s="109"/>
      <c r="F27" s="109"/>
      <c r="G27" s="109"/>
      <c r="H27" s="109"/>
      <c r="I27" s="109"/>
      <c r="J27" s="2"/>
    </row>
    <row r="28" spans="1:17" ht="12.75" customHeight="1">
      <c r="A28" s="59" t="s">
        <v>29</v>
      </c>
      <c r="B28" s="109" t="s">
        <v>30</v>
      </c>
      <c r="C28" s="109"/>
      <c r="D28" s="109"/>
      <c r="E28" s="109"/>
      <c r="F28" s="109"/>
      <c r="G28" s="109"/>
      <c r="H28" s="109"/>
      <c r="I28" s="109"/>
      <c r="J28" s="2"/>
      <c r="Q28" s="54"/>
    </row>
    <row r="29" spans="1:17" ht="12.75" customHeight="1">
      <c r="A29" s="1" t="s">
        <v>7</v>
      </c>
      <c r="B29" s="109" t="s">
        <v>31</v>
      </c>
      <c r="C29" s="109"/>
      <c r="D29" s="109"/>
      <c r="E29" s="109"/>
      <c r="F29" s="109"/>
      <c r="G29" s="109"/>
      <c r="H29" s="109"/>
      <c r="I29" s="4"/>
      <c r="J29" s="2">
        <f>I29*J24</f>
        <v>0</v>
      </c>
      <c r="Q29" s="54"/>
    </row>
    <row r="30" spans="1:17" ht="15.75" customHeight="1">
      <c r="A30" s="116" t="s">
        <v>32</v>
      </c>
      <c r="B30" s="116"/>
      <c r="C30" s="116"/>
      <c r="D30" s="116"/>
      <c r="E30" s="116"/>
      <c r="F30" s="116"/>
      <c r="G30" s="116"/>
      <c r="H30" s="116"/>
      <c r="I30" s="116"/>
      <c r="J30" s="5">
        <f>SUM(J24:J29)</f>
        <v>3232</v>
      </c>
    </row>
    <row r="31" spans="1:17" ht="13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Q31" s="54"/>
    </row>
    <row r="32" spans="1:17" ht="16.149999999999999" customHeight="1">
      <c r="A32" s="112" t="s">
        <v>33</v>
      </c>
      <c r="B32" s="112"/>
      <c r="C32" s="112"/>
      <c r="D32" s="112"/>
      <c r="E32" s="112"/>
      <c r="F32" s="112"/>
      <c r="G32" s="112"/>
      <c r="H32" s="112"/>
      <c r="I32" s="112"/>
      <c r="J32" s="112"/>
    </row>
    <row r="33" spans="1:13" ht="14">
      <c r="A33" s="129" t="s">
        <v>34</v>
      </c>
      <c r="B33" s="129"/>
      <c r="C33" s="129"/>
      <c r="D33" s="129"/>
      <c r="E33" s="129"/>
      <c r="F33" s="129"/>
      <c r="G33" s="129"/>
      <c r="H33" s="129"/>
      <c r="I33" s="129"/>
      <c r="J33" s="129"/>
    </row>
    <row r="34" spans="1:13" ht="14">
      <c r="A34" s="6" t="s">
        <v>35</v>
      </c>
      <c r="B34" s="130" t="s">
        <v>36</v>
      </c>
      <c r="C34" s="130"/>
      <c r="D34" s="130"/>
      <c r="E34" s="130"/>
      <c r="F34" s="130"/>
      <c r="G34" s="130"/>
      <c r="H34" s="130"/>
      <c r="I34" s="130"/>
      <c r="J34" s="7" t="s">
        <v>37</v>
      </c>
    </row>
    <row r="35" spans="1:13" ht="27.65" customHeight="1">
      <c r="A35" s="8" t="s">
        <v>5</v>
      </c>
      <c r="B35" s="109" t="s">
        <v>38</v>
      </c>
      <c r="C35" s="109"/>
      <c r="D35" s="109"/>
      <c r="E35" s="109"/>
      <c r="F35" s="109"/>
      <c r="G35" s="109"/>
      <c r="H35" s="109"/>
      <c r="I35" s="9">
        <v>8.3299999999999999E-2</v>
      </c>
      <c r="J35" s="10">
        <f>ROUND($J$30*I35,2)</f>
        <v>269.23</v>
      </c>
      <c r="M35" s="55"/>
    </row>
    <row r="36" spans="1:13" ht="36.25" customHeight="1">
      <c r="A36" s="8" t="s">
        <v>7</v>
      </c>
      <c r="B36" s="120" t="s">
        <v>39</v>
      </c>
      <c r="C36" s="120"/>
      <c r="D36" s="120"/>
      <c r="E36" s="120"/>
      <c r="F36" s="120"/>
      <c r="G36" s="120"/>
      <c r="H36" s="120"/>
      <c r="I36" s="11">
        <v>3.0249999999999999E-2</v>
      </c>
      <c r="J36" s="10">
        <f>ROUND($J$30*I36,2)</f>
        <v>97.77</v>
      </c>
    </row>
    <row r="37" spans="1:13" ht="13">
      <c r="A37" s="128" t="s">
        <v>40</v>
      </c>
      <c r="B37" s="128"/>
      <c r="C37" s="128"/>
      <c r="D37" s="128"/>
      <c r="E37" s="128"/>
      <c r="F37" s="128"/>
      <c r="G37" s="128"/>
      <c r="H37" s="128"/>
      <c r="I37" s="128"/>
      <c r="J37" s="62">
        <f>SUM(J35+J36)</f>
        <v>367</v>
      </c>
    </row>
    <row r="38" spans="1:13" ht="13">
      <c r="A38" s="101"/>
      <c r="B38" s="101"/>
      <c r="C38" s="101"/>
      <c r="D38" s="101"/>
      <c r="E38" s="101"/>
      <c r="F38" s="101"/>
      <c r="G38" s="101"/>
      <c r="H38" s="101"/>
      <c r="I38" s="101"/>
      <c r="J38" s="101"/>
    </row>
    <row r="39" spans="1:13" ht="30.4" customHeight="1">
      <c r="A39" s="112" t="s">
        <v>41</v>
      </c>
      <c r="B39" s="112"/>
      <c r="C39" s="112"/>
      <c r="D39" s="112"/>
      <c r="E39" s="112"/>
      <c r="F39" s="112"/>
      <c r="G39" s="112"/>
      <c r="H39" s="112"/>
      <c r="I39" s="112"/>
      <c r="J39" s="112"/>
    </row>
    <row r="40" spans="1:13" ht="30.4" customHeight="1">
      <c r="A40" s="61" t="s">
        <v>42</v>
      </c>
      <c r="B40" s="113" t="s">
        <v>43</v>
      </c>
      <c r="C40" s="113"/>
      <c r="D40" s="113"/>
      <c r="E40" s="113"/>
      <c r="F40" s="113"/>
      <c r="G40" s="113"/>
      <c r="H40" s="113"/>
      <c r="I40" s="60" t="s">
        <v>44</v>
      </c>
      <c r="J40" s="60" t="s">
        <v>45</v>
      </c>
    </row>
    <row r="41" spans="1:13" ht="13">
      <c r="A41" s="8" t="s">
        <v>5</v>
      </c>
      <c r="B41" s="104" t="s">
        <v>46</v>
      </c>
      <c r="C41" s="104"/>
      <c r="D41" s="104"/>
      <c r="E41" s="104"/>
      <c r="F41" s="104"/>
      <c r="G41" s="104"/>
      <c r="H41" s="104"/>
      <c r="I41" s="15">
        <v>0.2</v>
      </c>
      <c r="J41" s="16">
        <f>ROUND(($J$30+$J$37)*I41,2)</f>
        <v>719.8</v>
      </c>
    </row>
    <row r="42" spans="1:13" ht="13">
      <c r="A42" s="8" t="s">
        <v>7</v>
      </c>
      <c r="B42" s="104" t="s">
        <v>47</v>
      </c>
      <c r="C42" s="104"/>
      <c r="D42" s="104"/>
      <c r="E42" s="104"/>
      <c r="F42" s="104"/>
      <c r="G42" s="104"/>
      <c r="H42" s="104"/>
      <c r="I42" s="15">
        <v>2.5000000000000001E-2</v>
      </c>
      <c r="J42" s="16">
        <f t="shared" ref="J42:J48" si="0">ROUND(($J$30+$J$37)*I42,2)</f>
        <v>89.98</v>
      </c>
    </row>
    <row r="43" spans="1:13" ht="23.9" customHeight="1">
      <c r="A43" s="8" t="s">
        <v>9</v>
      </c>
      <c r="B43" s="109" t="s">
        <v>48</v>
      </c>
      <c r="C43" s="109"/>
      <c r="D43" s="109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35.99</v>
      </c>
    </row>
    <row r="44" spans="1:13" ht="13">
      <c r="A44" s="8" t="s">
        <v>12</v>
      </c>
      <c r="B44" s="104" t="s">
        <v>51</v>
      </c>
      <c r="C44" s="104"/>
      <c r="D44" s="104"/>
      <c r="E44" s="104"/>
      <c r="F44" s="104"/>
      <c r="G44" s="104"/>
      <c r="H44" s="104"/>
      <c r="I44" s="15">
        <v>1.4999999999999999E-2</v>
      </c>
      <c r="J44" s="16">
        <f t="shared" si="0"/>
        <v>53.99</v>
      </c>
    </row>
    <row r="45" spans="1:13" ht="13">
      <c r="A45" s="8" t="s">
        <v>29</v>
      </c>
      <c r="B45" s="104" t="s">
        <v>52</v>
      </c>
      <c r="C45" s="104"/>
      <c r="D45" s="104"/>
      <c r="E45" s="104"/>
      <c r="F45" s="104"/>
      <c r="G45" s="104"/>
      <c r="H45" s="104"/>
      <c r="I45" s="15">
        <v>0.01</v>
      </c>
      <c r="J45" s="16">
        <f t="shared" si="0"/>
        <v>35.99</v>
      </c>
    </row>
    <row r="46" spans="1:13" ht="13">
      <c r="A46" s="8" t="s">
        <v>53</v>
      </c>
      <c r="B46" s="104" t="s">
        <v>54</v>
      </c>
      <c r="C46" s="104"/>
      <c r="D46" s="104"/>
      <c r="E46" s="104"/>
      <c r="F46" s="104"/>
      <c r="G46" s="104"/>
      <c r="H46" s="104"/>
      <c r="I46" s="15">
        <v>6.0000000000000001E-3</v>
      </c>
      <c r="J46" s="16">
        <f t="shared" si="0"/>
        <v>21.59</v>
      </c>
    </row>
    <row r="47" spans="1:13" ht="13">
      <c r="A47" s="8" t="s">
        <v>55</v>
      </c>
      <c r="B47" s="104" t="s">
        <v>56</v>
      </c>
      <c r="C47" s="104"/>
      <c r="D47" s="104"/>
      <c r="E47" s="104"/>
      <c r="F47" s="104"/>
      <c r="G47" s="104"/>
      <c r="H47" s="104"/>
      <c r="I47" s="15">
        <v>2E-3</v>
      </c>
      <c r="J47" s="16">
        <f t="shared" si="0"/>
        <v>7.2</v>
      </c>
    </row>
    <row r="48" spans="1:13" ht="13">
      <c r="A48" s="8" t="s">
        <v>57</v>
      </c>
      <c r="B48" s="104" t="s">
        <v>58</v>
      </c>
      <c r="C48" s="104"/>
      <c r="D48" s="104"/>
      <c r="E48" s="104"/>
      <c r="F48" s="104"/>
      <c r="G48" s="104"/>
      <c r="H48" s="104"/>
      <c r="I48" s="15">
        <v>0.08</v>
      </c>
      <c r="J48" s="16">
        <f t="shared" si="0"/>
        <v>287.92</v>
      </c>
    </row>
    <row r="49" spans="1:12" ht="13">
      <c r="A49" s="105" t="s">
        <v>40</v>
      </c>
      <c r="B49" s="105"/>
      <c r="C49" s="105"/>
      <c r="D49" s="105"/>
      <c r="E49" s="105"/>
      <c r="F49" s="105"/>
      <c r="G49" s="105"/>
      <c r="H49" s="105"/>
      <c r="I49" s="21">
        <f>SUM(I41:I48)</f>
        <v>0.34800000000000003</v>
      </c>
      <c r="J49" s="14">
        <f>SUM(J41:J48)</f>
        <v>1252.46</v>
      </c>
    </row>
    <row r="50" spans="1:12" ht="13">
      <c r="A50" s="101"/>
      <c r="B50" s="101"/>
      <c r="C50" s="101"/>
      <c r="D50" s="101"/>
      <c r="E50" s="101"/>
      <c r="F50" s="101"/>
      <c r="G50" s="101"/>
      <c r="H50" s="101"/>
      <c r="I50" s="101"/>
      <c r="J50" s="101"/>
    </row>
    <row r="51" spans="1:12" ht="16.149999999999999" customHeight="1">
      <c r="A51" s="112" t="s">
        <v>59</v>
      </c>
      <c r="B51" s="112"/>
      <c r="C51" s="112"/>
      <c r="D51" s="112"/>
      <c r="E51" s="112"/>
      <c r="F51" s="112"/>
      <c r="G51" s="112"/>
      <c r="H51" s="112"/>
      <c r="I51" s="112"/>
      <c r="J51" s="112"/>
      <c r="L51" s="53"/>
    </row>
    <row r="52" spans="1:12" ht="16.149999999999999" customHeight="1">
      <c r="A52" s="61" t="s">
        <v>60</v>
      </c>
      <c r="B52" s="113" t="s">
        <v>61</v>
      </c>
      <c r="C52" s="113"/>
      <c r="D52" s="113"/>
      <c r="E52" s="113"/>
      <c r="F52" s="113"/>
      <c r="G52" s="113"/>
      <c r="H52" s="113"/>
      <c r="I52" s="113"/>
      <c r="J52" s="60" t="s">
        <v>37</v>
      </c>
    </row>
    <row r="53" spans="1:12" ht="13">
      <c r="A53" s="8" t="s">
        <v>5</v>
      </c>
      <c r="B53" s="104" t="s">
        <v>62</v>
      </c>
      <c r="C53" s="104"/>
      <c r="D53" s="104"/>
      <c r="E53" s="104"/>
      <c r="F53" s="104"/>
      <c r="G53" s="104"/>
      <c r="H53" s="104"/>
      <c r="I53" s="104"/>
      <c r="J53" s="16">
        <f>IF(ROUND((I56*I54*I55)-(J24*0.06),2)&lt;0,0,ROUND((I56*I54*I55)-(J24*0.06),2))</f>
        <v>55.68</v>
      </c>
    </row>
    <row r="54" spans="1:12" ht="13">
      <c r="A54" s="8"/>
      <c r="B54" s="121" t="s">
        <v>63</v>
      </c>
      <c r="C54" s="121"/>
      <c r="D54" s="121"/>
      <c r="E54" s="121"/>
      <c r="F54" s="121"/>
      <c r="G54" s="121"/>
      <c r="H54" s="121"/>
      <c r="I54" s="22">
        <v>4.8</v>
      </c>
      <c r="J54" s="51" t="s">
        <v>64</v>
      </c>
    </row>
    <row r="55" spans="1:12" ht="13">
      <c r="A55" s="8"/>
      <c r="B55" s="121" t="s">
        <v>65</v>
      </c>
      <c r="C55" s="121"/>
      <c r="D55" s="121"/>
      <c r="E55" s="121"/>
      <c r="F55" s="121"/>
      <c r="G55" s="121"/>
      <c r="H55" s="121"/>
      <c r="I55" s="23">
        <v>2</v>
      </c>
      <c r="J55" s="51"/>
    </row>
    <row r="56" spans="1:12" ht="13">
      <c r="A56" s="8"/>
      <c r="B56" s="121" t="s">
        <v>66</v>
      </c>
      <c r="C56" s="121"/>
      <c r="D56" s="121"/>
      <c r="E56" s="121"/>
      <c r="F56" s="121"/>
      <c r="G56" s="121"/>
      <c r="H56" s="121"/>
      <c r="I56" s="24">
        <v>26</v>
      </c>
      <c r="J56" s="51"/>
    </row>
    <row r="57" spans="1:12" ht="13">
      <c r="A57" s="8" t="s">
        <v>7</v>
      </c>
      <c r="B57" s="104" t="s">
        <v>67</v>
      </c>
      <c r="C57" s="104"/>
      <c r="D57" s="104"/>
      <c r="E57" s="104"/>
      <c r="F57" s="104"/>
      <c r="G57" s="104"/>
      <c r="H57" s="104"/>
      <c r="I57" s="104"/>
      <c r="J57" s="16">
        <f>ROUND((I58*I59)-(I59*I58*I60),2)</f>
        <v>212.5</v>
      </c>
    </row>
    <row r="58" spans="1:12" ht="13">
      <c r="A58" s="8"/>
      <c r="B58" s="121" t="s">
        <v>68</v>
      </c>
      <c r="C58" s="121"/>
      <c r="D58" s="121"/>
      <c r="E58" s="121"/>
      <c r="F58" s="121"/>
      <c r="G58" s="121"/>
      <c r="H58" s="121"/>
      <c r="I58" s="22">
        <v>10.09</v>
      </c>
      <c r="J58" s="51" t="s">
        <v>64</v>
      </c>
    </row>
    <row r="59" spans="1:12" ht="13">
      <c r="A59" s="25"/>
      <c r="B59" s="121" t="s">
        <v>69</v>
      </c>
      <c r="C59" s="121"/>
      <c r="D59" s="121"/>
      <c r="E59" s="121"/>
      <c r="F59" s="121"/>
      <c r="G59" s="121"/>
      <c r="H59" s="121"/>
      <c r="I59" s="26">
        <v>26</v>
      </c>
      <c r="J59" s="51"/>
    </row>
    <row r="60" spans="1:12" ht="13">
      <c r="A60" s="25"/>
      <c r="B60" s="121" t="s">
        <v>132</v>
      </c>
      <c r="C60" s="121"/>
      <c r="D60" s="121"/>
      <c r="E60" s="121"/>
      <c r="F60" s="121"/>
      <c r="G60" s="121"/>
      <c r="H60" s="121"/>
      <c r="I60" s="52">
        <v>0.19</v>
      </c>
      <c r="J60" s="51"/>
    </row>
    <row r="61" spans="1:12" ht="27.65" customHeight="1">
      <c r="A61" s="8" t="s">
        <v>9</v>
      </c>
      <c r="B61" s="122" t="s">
        <v>70</v>
      </c>
      <c r="C61" s="123"/>
      <c r="D61" s="123"/>
      <c r="E61" s="123"/>
      <c r="F61" s="123"/>
      <c r="G61" s="123"/>
      <c r="H61" s="123"/>
      <c r="I61" s="124"/>
      <c r="J61" s="27">
        <v>0</v>
      </c>
    </row>
    <row r="62" spans="1:12" ht="27.65" customHeight="1">
      <c r="A62" s="8" t="s">
        <v>12</v>
      </c>
      <c r="B62" s="122"/>
      <c r="C62" s="123"/>
      <c r="D62" s="123"/>
      <c r="E62" s="123"/>
      <c r="F62" s="123"/>
      <c r="G62" s="123"/>
      <c r="H62" s="123"/>
      <c r="I62" s="124"/>
      <c r="J62" s="27"/>
      <c r="L62" s="50"/>
    </row>
    <row r="63" spans="1:12" ht="27.65" customHeight="1">
      <c r="A63" s="8" t="s">
        <v>12</v>
      </c>
      <c r="B63" s="122" t="s">
        <v>186</v>
      </c>
      <c r="C63" s="123"/>
      <c r="D63" s="123"/>
      <c r="E63" s="123"/>
      <c r="F63" s="123"/>
      <c r="G63" s="123"/>
      <c r="H63" s="123"/>
      <c r="I63" s="124"/>
      <c r="J63" s="27">
        <v>17.32</v>
      </c>
      <c r="L63" s="50"/>
    </row>
    <row r="64" spans="1:12" ht="13">
      <c r="A64" s="125" t="s">
        <v>32</v>
      </c>
      <c r="B64" s="126"/>
      <c r="C64" s="126"/>
      <c r="D64" s="126"/>
      <c r="E64" s="126"/>
      <c r="F64" s="126"/>
      <c r="G64" s="126"/>
      <c r="H64" s="126"/>
      <c r="I64" s="127"/>
      <c r="J64" s="14">
        <f>SUM(J53:J63)</f>
        <v>285.5</v>
      </c>
      <c r="L64" s="50"/>
    </row>
    <row r="65" spans="1:12" ht="13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L65" s="50"/>
    </row>
    <row r="66" spans="1:12" ht="16.149999999999999" customHeight="1">
      <c r="A66" s="112" t="s">
        <v>71</v>
      </c>
      <c r="B66" s="112"/>
      <c r="C66" s="112"/>
      <c r="D66" s="112"/>
      <c r="E66" s="112"/>
      <c r="F66" s="112"/>
      <c r="G66" s="112"/>
      <c r="H66" s="112"/>
      <c r="I66" s="112"/>
      <c r="J66" s="112"/>
      <c r="L66" s="50"/>
    </row>
    <row r="67" spans="1:12" ht="16.149999999999999" customHeight="1">
      <c r="A67" s="60">
        <v>2</v>
      </c>
      <c r="B67" s="115" t="s">
        <v>72</v>
      </c>
      <c r="C67" s="115"/>
      <c r="D67" s="115"/>
      <c r="E67" s="115"/>
      <c r="F67" s="115"/>
      <c r="G67" s="115"/>
      <c r="H67" s="115"/>
      <c r="I67" s="115"/>
      <c r="J67" s="60" t="s">
        <v>37</v>
      </c>
      <c r="L67" s="50"/>
    </row>
    <row r="68" spans="1:12" ht="14.65" customHeight="1">
      <c r="A68" s="1" t="s">
        <v>35</v>
      </c>
      <c r="B68" s="1"/>
      <c r="C68" s="109" t="s">
        <v>73</v>
      </c>
      <c r="D68" s="109"/>
      <c r="E68" s="109"/>
      <c r="F68" s="109"/>
      <c r="G68" s="109"/>
      <c r="H68" s="109"/>
      <c r="I68" s="109"/>
      <c r="J68" s="28">
        <f>J37</f>
        <v>367</v>
      </c>
      <c r="L68" s="50"/>
    </row>
    <row r="69" spans="1:12" ht="14.65" customHeight="1">
      <c r="A69" s="1" t="s">
        <v>42</v>
      </c>
      <c r="B69" s="1"/>
      <c r="C69" s="109" t="s">
        <v>43</v>
      </c>
      <c r="D69" s="109"/>
      <c r="E69" s="109"/>
      <c r="F69" s="109"/>
      <c r="G69" s="109"/>
      <c r="H69" s="109"/>
      <c r="I69" s="109"/>
      <c r="J69" s="28">
        <f>J49</f>
        <v>1252.46</v>
      </c>
      <c r="L69" s="50"/>
    </row>
    <row r="70" spans="1:12" ht="14.65" customHeight="1">
      <c r="A70" s="1" t="s">
        <v>60</v>
      </c>
      <c r="B70" s="1"/>
      <c r="C70" s="109" t="s">
        <v>61</v>
      </c>
      <c r="D70" s="109"/>
      <c r="E70" s="109"/>
      <c r="F70" s="109"/>
      <c r="G70" s="109"/>
      <c r="H70" s="109"/>
      <c r="I70" s="109"/>
      <c r="J70" s="28">
        <f>J64</f>
        <v>285.5</v>
      </c>
      <c r="L70" s="50"/>
    </row>
    <row r="71" spans="1:12" ht="14.65" customHeight="1">
      <c r="A71" s="116" t="s">
        <v>40</v>
      </c>
      <c r="B71" s="116"/>
      <c r="C71" s="116"/>
      <c r="D71" s="116"/>
      <c r="E71" s="116"/>
      <c r="F71" s="116"/>
      <c r="G71" s="116"/>
      <c r="H71" s="116"/>
      <c r="I71" s="116"/>
      <c r="J71" s="29">
        <f>SUM(J68+J69+J70)</f>
        <v>1904.96</v>
      </c>
    </row>
    <row r="72" spans="1:12" ht="13">
      <c r="A72" s="101"/>
      <c r="B72" s="101"/>
      <c r="C72" s="101"/>
      <c r="D72" s="101"/>
      <c r="E72" s="101"/>
      <c r="F72" s="101"/>
      <c r="G72" s="101"/>
      <c r="H72" s="101"/>
      <c r="I72" s="101"/>
      <c r="J72" s="101"/>
    </row>
    <row r="73" spans="1:12" ht="16.149999999999999" customHeight="1">
      <c r="A73" s="112" t="s">
        <v>74</v>
      </c>
      <c r="B73" s="112"/>
      <c r="C73" s="112"/>
      <c r="D73" s="112"/>
      <c r="E73" s="112"/>
      <c r="F73" s="112"/>
      <c r="G73" s="112"/>
      <c r="H73" s="112"/>
      <c r="I73" s="112"/>
      <c r="J73" s="112"/>
    </row>
    <row r="74" spans="1:12" ht="16.149999999999999" customHeight="1">
      <c r="A74" s="61">
        <v>3</v>
      </c>
      <c r="B74" s="115" t="s">
        <v>75</v>
      </c>
      <c r="C74" s="115"/>
      <c r="D74" s="115"/>
      <c r="E74" s="115"/>
      <c r="F74" s="115"/>
      <c r="G74" s="115"/>
      <c r="H74" s="115"/>
      <c r="I74" s="115"/>
      <c r="J74" s="61" t="s">
        <v>76</v>
      </c>
    </row>
    <row r="75" spans="1:12" ht="46.5" customHeight="1">
      <c r="A75" s="8" t="s">
        <v>5</v>
      </c>
      <c r="B75" s="109" t="s">
        <v>135</v>
      </c>
      <c r="C75" s="109"/>
      <c r="D75" s="109"/>
      <c r="E75" s="109"/>
      <c r="F75" s="109"/>
      <c r="G75" s="109"/>
      <c r="H75" s="109"/>
      <c r="I75" s="109"/>
      <c r="J75" s="16">
        <f>ROUND(((J30)+(J35)+(J30/12)+(J36))/12*0.01,2)</f>
        <v>3.22</v>
      </c>
      <c r="L75" s="50"/>
    </row>
    <row r="76" spans="1:12" ht="14.65" customHeight="1">
      <c r="A76" s="8" t="s">
        <v>7</v>
      </c>
      <c r="B76" s="109" t="s">
        <v>77</v>
      </c>
      <c r="C76" s="109"/>
      <c r="D76" s="109"/>
      <c r="E76" s="109"/>
      <c r="F76" s="109"/>
      <c r="G76" s="109"/>
      <c r="H76" s="109"/>
      <c r="I76" s="109"/>
      <c r="J76" s="16">
        <f>ROUND($J$75*I48,2)</f>
        <v>0.26</v>
      </c>
    </row>
    <row r="77" spans="1:12" ht="36.25" customHeight="1">
      <c r="A77" s="8" t="s">
        <v>9</v>
      </c>
      <c r="B77" s="109" t="s">
        <v>136</v>
      </c>
      <c r="C77" s="109"/>
      <c r="D77" s="109"/>
      <c r="E77" s="109"/>
      <c r="F77" s="109"/>
      <c r="G77" s="109"/>
      <c r="H77" s="109"/>
      <c r="I77" s="30">
        <v>2.3999999999999998E-3</v>
      </c>
      <c r="J77" s="16">
        <f>ROUND($J$30*I77,2)</f>
        <v>7.76</v>
      </c>
    </row>
    <row r="78" spans="1:12" ht="34.5" customHeight="1">
      <c r="A78" s="8" t="s">
        <v>12</v>
      </c>
      <c r="B78" s="109" t="s">
        <v>138</v>
      </c>
      <c r="C78" s="109"/>
      <c r="D78" s="109"/>
      <c r="E78" s="109"/>
      <c r="F78" s="109"/>
      <c r="G78" s="109"/>
      <c r="H78" s="109"/>
      <c r="I78" s="109"/>
      <c r="J78" s="16">
        <f>J30/30*7/12*0.05</f>
        <v>3.1422222222222222</v>
      </c>
    </row>
    <row r="79" spans="1:12" ht="14.65" customHeight="1">
      <c r="A79" s="8" t="s">
        <v>29</v>
      </c>
      <c r="B79" s="109" t="s">
        <v>78</v>
      </c>
      <c r="C79" s="109"/>
      <c r="D79" s="109"/>
      <c r="E79" s="109"/>
      <c r="F79" s="109"/>
      <c r="G79" s="109"/>
      <c r="H79" s="109"/>
      <c r="I79" s="109"/>
      <c r="J79" s="16">
        <f>ROUND($I$49*J78,2)</f>
        <v>1.0900000000000001</v>
      </c>
    </row>
    <row r="80" spans="1:12" ht="36.25" customHeight="1">
      <c r="A80" s="8" t="s">
        <v>53</v>
      </c>
      <c r="B80" s="109" t="s">
        <v>137</v>
      </c>
      <c r="C80" s="109"/>
      <c r="D80" s="109"/>
      <c r="E80" s="109"/>
      <c r="F80" s="109"/>
      <c r="G80" s="109"/>
      <c r="H80" s="109"/>
      <c r="I80" s="30">
        <v>3.7600000000000001E-2</v>
      </c>
      <c r="J80" s="16">
        <f>ROUND($J$30*I80,2)</f>
        <v>121.52</v>
      </c>
    </row>
    <row r="81" spans="1:10" ht="13">
      <c r="A81" s="105" t="s">
        <v>40</v>
      </c>
      <c r="B81" s="105"/>
      <c r="C81" s="105"/>
      <c r="D81" s="105"/>
      <c r="E81" s="105"/>
      <c r="F81" s="105"/>
      <c r="G81" s="105"/>
      <c r="H81" s="105"/>
      <c r="I81" s="105"/>
      <c r="J81" s="14">
        <f>SUM(J75:J80)</f>
        <v>136.99222222222221</v>
      </c>
    </row>
    <row r="82" spans="1:10" ht="13">
      <c r="A82" s="101"/>
      <c r="B82" s="101"/>
      <c r="C82" s="101"/>
      <c r="D82" s="101"/>
      <c r="E82" s="101"/>
      <c r="F82" s="101"/>
      <c r="G82" s="101"/>
      <c r="H82" s="101"/>
      <c r="I82" s="101"/>
      <c r="J82" s="101"/>
    </row>
    <row r="83" spans="1:10" ht="16.149999999999999" customHeight="1">
      <c r="A83" s="112" t="s">
        <v>79</v>
      </c>
      <c r="B83" s="112"/>
      <c r="C83" s="112"/>
      <c r="D83" s="112"/>
      <c r="E83" s="112"/>
      <c r="F83" s="112"/>
      <c r="G83" s="112"/>
      <c r="H83" s="112"/>
      <c r="I83" s="112"/>
      <c r="J83" s="112"/>
    </row>
    <row r="84" spans="1:10" ht="15" customHeight="1">
      <c r="A84" s="119" t="s">
        <v>80</v>
      </c>
      <c r="B84" s="119"/>
      <c r="C84" s="119"/>
      <c r="D84" s="119"/>
      <c r="E84" s="119"/>
      <c r="F84" s="119"/>
      <c r="G84" s="119"/>
      <c r="H84" s="119"/>
      <c r="I84" s="119"/>
      <c r="J84" s="31">
        <f>J87+J30+J35+J36</f>
        <v>3892.3</v>
      </c>
    </row>
    <row r="85" spans="1:10" ht="14.65" customHeight="1">
      <c r="A85" s="120"/>
      <c r="B85" s="120"/>
      <c r="C85" s="120"/>
      <c r="D85" s="120"/>
      <c r="E85" s="120"/>
      <c r="F85" s="120"/>
      <c r="G85" s="120"/>
      <c r="H85" s="120"/>
      <c r="I85" s="120"/>
      <c r="J85" s="120"/>
    </row>
    <row r="86" spans="1:10" ht="14">
      <c r="A86" s="32" t="s">
        <v>81</v>
      </c>
      <c r="B86" s="113" t="s">
        <v>82</v>
      </c>
      <c r="C86" s="113"/>
      <c r="D86" s="113"/>
      <c r="E86" s="113"/>
      <c r="F86" s="113"/>
      <c r="G86" s="113"/>
      <c r="H86" s="113"/>
      <c r="I86" s="113"/>
      <c r="J86" s="32" t="s">
        <v>37</v>
      </c>
    </row>
    <row r="87" spans="1:10" ht="12.75" customHeight="1">
      <c r="A87" s="12" t="s">
        <v>5</v>
      </c>
      <c r="B87" s="109" t="s">
        <v>83</v>
      </c>
      <c r="C87" s="109"/>
      <c r="D87" s="109"/>
      <c r="E87" s="109"/>
      <c r="F87" s="109"/>
      <c r="G87" s="109"/>
      <c r="H87" s="109"/>
      <c r="I87" s="33">
        <f>12.1%-I36</f>
        <v>9.0749999999999997E-2</v>
      </c>
      <c r="J87" s="16">
        <f>ROUND(($J$30*I87),2)</f>
        <v>293.3</v>
      </c>
    </row>
    <row r="88" spans="1:10" ht="13">
      <c r="A88" s="12" t="s">
        <v>7</v>
      </c>
      <c r="B88" s="104" t="s">
        <v>131</v>
      </c>
      <c r="C88" s="104"/>
      <c r="D88" s="104"/>
      <c r="E88" s="104"/>
      <c r="F88" s="104"/>
      <c r="G88" s="104"/>
      <c r="H88" s="104"/>
      <c r="I88" s="104"/>
      <c r="J88" s="34">
        <f>J84/30*0.1/12</f>
        <v>1.0811944444444446</v>
      </c>
    </row>
    <row r="89" spans="1:10" ht="13">
      <c r="A89" s="12" t="s">
        <v>9</v>
      </c>
      <c r="B89" s="104" t="s">
        <v>84</v>
      </c>
      <c r="C89" s="104"/>
      <c r="D89" s="104"/>
      <c r="E89" s="104"/>
      <c r="F89" s="104"/>
      <c r="G89" s="104"/>
      <c r="H89" s="104"/>
      <c r="I89" s="104"/>
      <c r="J89" s="34">
        <f>J84/30*5/12*1.5%</f>
        <v>0.81089583333333337</v>
      </c>
    </row>
    <row r="90" spans="1:10" ht="13">
      <c r="A90" s="12" t="s">
        <v>12</v>
      </c>
      <c r="B90" s="104" t="s">
        <v>85</v>
      </c>
      <c r="C90" s="104"/>
      <c r="D90" s="104"/>
      <c r="E90" s="104"/>
      <c r="F90" s="104"/>
      <c r="G90" s="104"/>
      <c r="H90" s="104"/>
      <c r="I90" s="104"/>
      <c r="J90" s="13">
        <f>J84/30*15/12*0.78%</f>
        <v>1.2649975000000002</v>
      </c>
    </row>
    <row r="91" spans="1:10" ht="13">
      <c r="A91" s="12" t="s">
        <v>29</v>
      </c>
      <c r="B91" s="104" t="s">
        <v>86</v>
      </c>
      <c r="C91" s="104"/>
      <c r="D91" s="104"/>
      <c r="E91" s="104"/>
      <c r="F91" s="104"/>
      <c r="G91" s="104"/>
      <c r="H91" s="104"/>
      <c r="I91" s="104"/>
      <c r="J91" s="16">
        <f>(J30+J36)/12*4/12*1%</f>
        <v>0.92493611111111118</v>
      </c>
    </row>
    <row r="92" spans="1:10" ht="13">
      <c r="A92" s="35" t="s">
        <v>53</v>
      </c>
      <c r="B92" s="118" t="s">
        <v>87</v>
      </c>
      <c r="C92" s="118"/>
      <c r="D92" s="118"/>
      <c r="E92" s="118"/>
      <c r="F92" s="118"/>
      <c r="G92" s="118"/>
      <c r="H92" s="118"/>
      <c r="I92" s="118"/>
      <c r="J92" s="13">
        <f>J84/30*0.15/12</f>
        <v>1.6217916666666667</v>
      </c>
    </row>
    <row r="93" spans="1:10" ht="13">
      <c r="A93" s="105" t="s">
        <v>40</v>
      </c>
      <c r="B93" s="105"/>
      <c r="C93" s="105"/>
      <c r="D93" s="105"/>
      <c r="E93" s="105"/>
      <c r="F93" s="105"/>
      <c r="G93" s="105"/>
      <c r="H93" s="105"/>
      <c r="I93" s="105"/>
      <c r="J93" s="36">
        <f>SUM(J87:J92)</f>
        <v>299.00381555555555</v>
      </c>
    </row>
    <row r="94" spans="1:10" ht="14.65" customHeight="1">
      <c r="A94" s="12"/>
      <c r="B94" s="104"/>
      <c r="C94" s="104"/>
      <c r="D94" s="104"/>
      <c r="E94" s="104"/>
      <c r="F94" s="104"/>
      <c r="G94" s="104"/>
      <c r="H94" s="104"/>
      <c r="I94" s="104"/>
      <c r="J94" s="13"/>
    </row>
    <row r="95" spans="1:10" ht="13">
      <c r="A95" s="105" t="s">
        <v>40</v>
      </c>
      <c r="B95" s="105"/>
      <c r="C95" s="105"/>
      <c r="D95" s="105"/>
      <c r="E95" s="105"/>
      <c r="F95" s="105"/>
      <c r="G95" s="105"/>
      <c r="H95" s="105"/>
      <c r="I95" s="105"/>
      <c r="J95" s="14">
        <f>SUM(J93:J94)</f>
        <v>299.00381555555555</v>
      </c>
    </row>
    <row r="96" spans="1:10" ht="16.149999999999999" customHeight="1">
      <c r="A96" s="112" t="s">
        <v>88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14">
      <c r="A97" s="61" t="s">
        <v>89</v>
      </c>
      <c r="B97" s="113" t="s">
        <v>90</v>
      </c>
      <c r="C97" s="113"/>
      <c r="D97" s="113"/>
      <c r="E97" s="113"/>
      <c r="F97" s="113"/>
      <c r="G97" s="113"/>
      <c r="H97" s="113"/>
      <c r="I97" s="113"/>
      <c r="J97" s="37" t="s">
        <v>37</v>
      </c>
    </row>
    <row r="98" spans="1:10" ht="13">
      <c r="A98" s="8" t="s">
        <v>5</v>
      </c>
      <c r="B98" s="104" t="s">
        <v>91</v>
      </c>
      <c r="C98" s="104"/>
      <c r="D98" s="104"/>
      <c r="E98" s="104"/>
      <c r="F98" s="104"/>
      <c r="G98" s="104"/>
      <c r="H98" s="104"/>
      <c r="I98" s="104"/>
      <c r="J98" s="16">
        <v>0</v>
      </c>
    </row>
    <row r="99" spans="1:10" ht="13">
      <c r="A99" s="117" t="s">
        <v>40</v>
      </c>
      <c r="B99" s="117"/>
      <c r="C99" s="117"/>
      <c r="D99" s="117"/>
      <c r="E99" s="117"/>
      <c r="F99" s="117"/>
      <c r="G99" s="117"/>
      <c r="H99" s="117"/>
      <c r="I99" s="117"/>
      <c r="J99" s="16">
        <v>0</v>
      </c>
    </row>
    <row r="100" spans="1:10" ht="13">
      <c r="A100" s="12"/>
      <c r="B100" s="104"/>
      <c r="C100" s="104"/>
      <c r="D100" s="104"/>
      <c r="E100" s="104"/>
      <c r="F100" s="104"/>
      <c r="G100" s="104"/>
      <c r="H100" s="104"/>
      <c r="I100" s="104"/>
      <c r="J100" s="13"/>
    </row>
    <row r="101" spans="1:10" ht="13">
      <c r="A101" s="105" t="s">
        <v>40</v>
      </c>
      <c r="B101" s="105"/>
      <c r="C101" s="105"/>
      <c r="D101" s="105"/>
      <c r="E101" s="105"/>
      <c r="F101" s="105"/>
      <c r="G101" s="105"/>
      <c r="H101" s="105"/>
      <c r="I101" s="105"/>
      <c r="J101" s="14">
        <f>SUM(J99:J100)</f>
        <v>0</v>
      </c>
    </row>
    <row r="102" spans="1:10" ht="13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</row>
    <row r="103" spans="1:10" ht="16.149999999999999" customHeight="1">
      <c r="A103" s="112" t="s">
        <v>92</v>
      </c>
      <c r="B103" s="112"/>
      <c r="C103" s="112"/>
      <c r="D103" s="112"/>
      <c r="E103" s="112"/>
      <c r="F103" s="112"/>
      <c r="G103" s="112"/>
      <c r="H103" s="112"/>
      <c r="I103" s="112"/>
      <c r="J103" s="112"/>
    </row>
    <row r="104" spans="1:10" ht="16.149999999999999" customHeight="1">
      <c r="A104" s="60">
        <v>4</v>
      </c>
      <c r="B104" s="115" t="s">
        <v>93</v>
      </c>
      <c r="C104" s="115"/>
      <c r="D104" s="115"/>
      <c r="E104" s="115"/>
      <c r="F104" s="115"/>
      <c r="G104" s="115"/>
      <c r="H104" s="115"/>
      <c r="I104" s="115"/>
      <c r="J104" s="37" t="s">
        <v>37</v>
      </c>
    </row>
    <row r="105" spans="1:10" ht="14.65" customHeight="1">
      <c r="A105" s="1" t="s">
        <v>81</v>
      </c>
      <c r="B105" s="109" t="s">
        <v>94</v>
      </c>
      <c r="C105" s="109"/>
      <c r="D105" s="109"/>
      <c r="E105" s="109"/>
      <c r="F105" s="109"/>
      <c r="G105" s="109"/>
      <c r="H105" s="109"/>
      <c r="I105" s="109"/>
      <c r="J105" s="16">
        <f>J95</f>
        <v>299.00381555555555</v>
      </c>
    </row>
    <row r="106" spans="1:10" ht="14.65" customHeight="1">
      <c r="A106" s="1" t="s">
        <v>95</v>
      </c>
      <c r="B106" s="109" t="s">
        <v>96</v>
      </c>
      <c r="C106" s="109"/>
      <c r="D106" s="109"/>
      <c r="E106" s="109"/>
      <c r="F106" s="109"/>
      <c r="G106" s="109"/>
      <c r="H106" s="109"/>
      <c r="I106" s="109"/>
      <c r="J106" s="16">
        <f>J101</f>
        <v>0</v>
      </c>
    </row>
    <row r="107" spans="1:10" ht="14.65" customHeight="1">
      <c r="A107" s="116" t="s">
        <v>40</v>
      </c>
      <c r="B107" s="116"/>
      <c r="C107" s="116"/>
      <c r="D107" s="116"/>
      <c r="E107" s="116"/>
      <c r="F107" s="116"/>
      <c r="G107" s="116"/>
      <c r="H107" s="116"/>
      <c r="I107" s="116"/>
      <c r="J107" s="14">
        <f>SUM(J105+J106)</f>
        <v>299.00381555555555</v>
      </c>
    </row>
    <row r="108" spans="1:10" ht="13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</row>
    <row r="109" spans="1:10" ht="16.149999999999999" customHeight="1">
      <c r="A109" s="112" t="s">
        <v>97</v>
      </c>
      <c r="B109" s="112"/>
      <c r="C109" s="112"/>
      <c r="D109" s="112"/>
      <c r="E109" s="112"/>
      <c r="F109" s="112"/>
      <c r="G109" s="112"/>
      <c r="H109" s="112"/>
      <c r="I109" s="112"/>
      <c r="J109" s="112"/>
    </row>
    <row r="110" spans="1:10" ht="16.149999999999999" customHeight="1">
      <c r="A110" s="61">
        <v>5</v>
      </c>
      <c r="B110" s="113" t="s">
        <v>98</v>
      </c>
      <c r="C110" s="113"/>
      <c r="D110" s="113"/>
      <c r="E110" s="113"/>
      <c r="F110" s="113"/>
      <c r="G110" s="113"/>
      <c r="H110" s="113"/>
      <c r="I110" s="113"/>
      <c r="J110" s="61" t="s">
        <v>37</v>
      </c>
    </row>
    <row r="111" spans="1:10" ht="13">
      <c r="A111" s="8" t="s">
        <v>5</v>
      </c>
      <c r="B111" s="104" t="s">
        <v>185</v>
      </c>
      <c r="C111" s="104"/>
      <c r="D111" s="104"/>
      <c r="E111" s="104"/>
      <c r="F111" s="104"/>
      <c r="G111" s="104"/>
      <c r="H111" s="104"/>
      <c r="I111" s="104"/>
      <c r="J111" s="16">
        <f>Descritivo!E48</f>
        <v>91.369065656565652</v>
      </c>
    </row>
    <row r="112" spans="1:10" ht="13">
      <c r="A112" s="8" t="s">
        <v>7</v>
      </c>
      <c r="B112" s="104" t="s">
        <v>99</v>
      </c>
      <c r="C112" s="104"/>
      <c r="D112" s="104"/>
      <c r="E112" s="104"/>
      <c r="F112" s="104"/>
      <c r="G112" s="104"/>
      <c r="H112" s="104"/>
      <c r="I112" s="104"/>
      <c r="J112" s="27">
        <f>Descritivo!D93</f>
        <v>116.16919191919192</v>
      </c>
    </row>
    <row r="113" spans="1:10" ht="13">
      <c r="A113" s="8" t="s">
        <v>9</v>
      </c>
      <c r="B113" s="104" t="s">
        <v>139</v>
      </c>
      <c r="C113" s="104"/>
      <c r="D113" s="104"/>
      <c r="E113" s="104"/>
      <c r="F113" s="104"/>
      <c r="G113" s="104"/>
      <c r="H113" s="104"/>
      <c r="I113" s="104"/>
      <c r="J113" s="27">
        <f>Descritivo!C101</f>
        <v>36.363636363636367</v>
      </c>
    </row>
    <row r="114" spans="1:10" ht="13">
      <c r="A114" s="8" t="s">
        <v>12</v>
      </c>
      <c r="B114" s="104" t="s">
        <v>100</v>
      </c>
      <c r="C114" s="104"/>
      <c r="D114" s="104"/>
      <c r="E114" s="104"/>
      <c r="F114" s="104"/>
      <c r="G114" s="104"/>
      <c r="H114" s="104"/>
      <c r="I114" s="104"/>
      <c r="J114" s="27"/>
    </row>
    <row r="115" spans="1:10" ht="13">
      <c r="A115" s="105" t="s">
        <v>32</v>
      </c>
      <c r="B115" s="105"/>
      <c r="C115" s="105"/>
      <c r="D115" s="105"/>
      <c r="E115" s="105"/>
      <c r="F115" s="105"/>
      <c r="G115" s="105"/>
      <c r="H115" s="105"/>
      <c r="I115" s="105"/>
      <c r="J115" s="38">
        <f>SUM(J111:J114)</f>
        <v>243.90189393939394</v>
      </c>
    </row>
    <row r="116" spans="1:10" ht="13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</row>
    <row r="117" spans="1:10" ht="16.149999999999999" customHeight="1">
      <c r="A117" s="112" t="s">
        <v>101</v>
      </c>
      <c r="B117" s="112"/>
      <c r="C117" s="112"/>
      <c r="D117" s="112"/>
      <c r="E117" s="112"/>
      <c r="F117" s="112"/>
      <c r="G117" s="112"/>
      <c r="H117" s="112"/>
      <c r="I117" s="112"/>
      <c r="J117" s="112"/>
    </row>
    <row r="118" spans="1:10" ht="28">
      <c r="A118" s="61">
        <v>6</v>
      </c>
      <c r="B118" s="113" t="s">
        <v>102</v>
      </c>
      <c r="C118" s="113"/>
      <c r="D118" s="113"/>
      <c r="E118" s="113"/>
      <c r="F118" s="113"/>
      <c r="G118" s="113"/>
      <c r="H118" s="113"/>
      <c r="I118" s="60" t="s">
        <v>44</v>
      </c>
      <c r="J118" s="39" t="s">
        <v>103</v>
      </c>
    </row>
    <row r="119" spans="1:10" ht="12.75" customHeight="1">
      <c r="A119" s="111" t="s">
        <v>104</v>
      </c>
      <c r="B119" s="111"/>
      <c r="C119" s="111"/>
      <c r="D119" s="111"/>
      <c r="E119" s="111"/>
      <c r="F119" s="111"/>
      <c r="G119" s="111"/>
      <c r="H119" s="111"/>
      <c r="I119" s="40" t="s">
        <v>64</v>
      </c>
      <c r="J119" s="41">
        <f>SUM(J30+J71+J81+J107+J115)</f>
        <v>5816.8579317171716</v>
      </c>
    </row>
    <row r="120" spans="1:10" ht="15.5">
      <c r="A120" s="42" t="s">
        <v>5</v>
      </c>
      <c r="B120" s="110" t="s">
        <v>105</v>
      </c>
      <c r="C120" s="110"/>
      <c r="D120" s="110"/>
      <c r="E120" s="110"/>
      <c r="F120" s="110"/>
      <c r="G120" s="110"/>
      <c r="H120" s="110"/>
      <c r="I120" s="15">
        <v>0.1091</v>
      </c>
      <c r="J120" s="16">
        <f>ROUND(I120*J119,2)</f>
        <v>634.62</v>
      </c>
    </row>
    <row r="121" spans="1:10" ht="12.75" customHeight="1">
      <c r="A121" s="111" t="s">
        <v>106</v>
      </c>
      <c r="B121" s="111"/>
      <c r="C121" s="111"/>
      <c r="D121" s="111"/>
      <c r="E121" s="111"/>
      <c r="F121" s="111"/>
      <c r="G121" s="111"/>
      <c r="H121" s="111"/>
      <c r="I121" s="43" t="s">
        <v>64</v>
      </c>
      <c r="J121" s="41">
        <f>SUM(J30+J71+J81+J107+J115+J120)</f>
        <v>6451.4779317171715</v>
      </c>
    </row>
    <row r="122" spans="1:10" ht="15.5">
      <c r="A122" s="42" t="s">
        <v>7</v>
      </c>
      <c r="B122" s="110" t="s">
        <v>107</v>
      </c>
      <c r="C122" s="110"/>
      <c r="D122" s="110"/>
      <c r="E122" s="110"/>
      <c r="F122" s="110"/>
      <c r="G122" s="110"/>
      <c r="H122" s="110"/>
      <c r="I122" s="20">
        <v>0.15109700000000001</v>
      </c>
      <c r="J122" s="16">
        <f>ROUND(I122*J121,2)</f>
        <v>974.8</v>
      </c>
    </row>
    <row r="123" spans="1:10" ht="12.75" customHeight="1">
      <c r="A123" s="111" t="s">
        <v>108</v>
      </c>
      <c r="B123" s="111"/>
      <c r="C123" s="111"/>
      <c r="D123" s="111"/>
      <c r="E123" s="111"/>
      <c r="F123" s="111"/>
      <c r="G123" s="111"/>
      <c r="H123" s="111"/>
      <c r="I123" s="43" t="s">
        <v>64</v>
      </c>
      <c r="J123" s="41">
        <f>SUM(J30+J71+J81+J107+J115+J120+J122)</f>
        <v>7426.2779317171717</v>
      </c>
    </row>
    <row r="124" spans="1:10" ht="15.5">
      <c r="A124" s="42" t="s">
        <v>9</v>
      </c>
      <c r="B124" s="110" t="s">
        <v>109</v>
      </c>
      <c r="C124" s="110"/>
      <c r="D124" s="110"/>
      <c r="E124" s="110"/>
      <c r="F124" s="110"/>
      <c r="G124" s="110"/>
      <c r="H124" s="110"/>
      <c r="I124" s="9" t="s">
        <v>64</v>
      </c>
      <c r="J124" s="51" t="s">
        <v>64</v>
      </c>
    </row>
    <row r="125" spans="1:10" ht="13">
      <c r="A125" s="8"/>
      <c r="B125" s="104" t="s">
        <v>110</v>
      </c>
      <c r="C125" s="104"/>
      <c r="D125" s="104"/>
      <c r="E125" s="104"/>
      <c r="F125" s="104"/>
      <c r="G125" s="104"/>
      <c r="H125" s="104"/>
      <c r="I125" s="9" t="s">
        <v>64</v>
      </c>
      <c r="J125" s="51" t="s">
        <v>64</v>
      </c>
    </row>
    <row r="126" spans="1:10" ht="13">
      <c r="A126" s="8"/>
      <c r="B126" s="104" t="s">
        <v>111</v>
      </c>
      <c r="C126" s="104"/>
      <c r="D126" s="104"/>
      <c r="E126" s="104"/>
      <c r="F126" s="104"/>
      <c r="G126" s="104"/>
      <c r="H126" s="104"/>
      <c r="I126" s="44">
        <v>0.03</v>
      </c>
      <c r="J126" s="16">
        <f>ROUND(($J$123/(1-$I$135))*I126,2)</f>
        <v>243.88</v>
      </c>
    </row>
    <row r="127" spans="1:10" ht="13">
      <c r="A127" s="8"/>
      <c r="B127" s="104" t="s">
        <v>112</v>
      </c>
      <c r="C127" s="104"/>
      <c r="D127" s="104"/>
      <c r="E127" s="104"/>
      <c r="F127" s="104"/>
      <c r="G127" s="104"/>
      <c r="H127" s="104"/>
      <c r="I127" s="44">
        <v>6.4999999999999997E-3</v>
      </c>
      <c r="J127" s="16">
        <f>ROUND(($J$123/(1-$I$135))*I127,2)</f>
        <v>52.84</v>
      </c>
    </row>
    <row r="128" spans="1:10" ht="27.65" customHeight="1">
      <c r="A128" s="8"/>
      <c r="B128" s="109" t="s">
        <v>113</v>
      </c>
      <c r="C128" s="109"/>
      <c r="D128" s="109"/>
      <c r="E128" s="109"/>
      <c r="F128" s="109"/>
      <c r="G128" s="109"/>
      <c r="H128" s="109"/>
      <c r="I128" s="45" t="s">
        <v>64</v>
      </c>
      <c r="J128" s="51" t="s">
        <v>64</v>
      </c>
    </row>
    <row r="129" spans="1:10" ht="27.65" customHeight="1">
      <c r="A129" s="8"/>
      <c r="B129" s="109" t="s">
        <v>114</v>
      </c>
      <c r="C129" s="109"/>
      <c r="D129" s="109"/>
      <c r="E129" s="109"/>
      <c r="F129" s="109"/>
      <c r="G129" s="109"/>
      <c r="H129" s="109"/>
      <c r="I129" s="45" t="s">
        <v>64</v>
      </c>
      <c r="J129" s="51" t="s">
        <v>64</v>
      </c>
    </row>
    <row r="130" spans="1:10" ht="13">
      <c r="A130" s="8"/>
      <c r="B130" s="104" t="s">
        <v>115</v>
      </c>
      <c r="C130" s="104"/>
      <c r="D130" s="104"/>
      <c r="E130" s="104"/>
      <c r="F130" s="104"/>
      <c r="G130" s="104"/>
      <c r="H130" s="104"/>
      <c r="I130" s="45" t="s">
        <v>64</v>
      </c>
      <c r="J130" s="51" t="s">
        <v>64</v>
      </c>
    </row>
    <row r="131" spans="1:10" ht="13">
      <c r="A131" s="8"/>
      <c r="B131" s="104" t="s">
        <v>116</v>
      </c>
      <c r="C131" s="104"/>
      <c r="D131" s="104"/>
      <c r="E131" s="104"/>
      <c r="F131" s="104"/>
      <c r="G131" s="104"/>
      <c r="H131" s="104"/>
      <c r="I131" s="45" t="s">
        <v>64</v>
      </c>
      <c r="J131" s="51" t="s">
        <v>64</v>
      </c>
    </row>
    <row r="132" spans="1:10" ht="13">
      <c r="A132" s="8"/>
      <c r="B132" s="104" t="s">
        <v>134</v>
      </c>
      <c r="C132" s="104"/>
      <c r="D132" s="104"/>
      <c r="E132" s="104"/>
      <c r="F132" s="104"/>
      <c r="G132" s="104"/>
      <c r="H132" s="104"/>
      <c r="I132" s="44">
        <v>0.05</v>
      </c>
      <c r="J132" s="16">
        <f>ROUND(($J$123/(1-$I$135))*I132,2)</f>
        <v>406.47</v>
      </c>
    </row>
    <row r="133" spans="1:10" ht="13">
      <c r="A133" s="105" t="s">
        <v>40</v>
      </c>
      <c r="B133" s="105"/>
      <c r="C133" s="105"/>
      <c r="D133" s="105"/>
      <c r="E133" s="105"/>
      <c r="F133" s="105"/>
      <c r="G133" s="105"/>
      <c r="H133" s="105"/>
      <c r="I133" s="105"/>
      <c r="J133" s="14">
        <f>SUM(J120+J122+J126+J127+J132)</f>
        <v>2312.61</v>
      </c>
    </row>
    <row r="134" spans="1:10" ht="13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</row>
    <row r="135" spans="1:10" ht="14.65" customHeight="1">
      <c r="A135" s="106" t="s">
        <v>117</v>
      </c>
      <c r="B135" s="106"/>
      <c r="C135" s="106"/>
      <c r="D135" s="106"/>
      <c r="E135" s="106"/>
      <c r="F135" s="106"/>
      <c r="G135" s="106"/>
      <c r="H135" s="106"/>
      <c r="I135" s="46">
        <f>SUM(I126:I132)</f>
        <v>8.6499999999999994E-2</v>
      </c>
      <c r="J135" s="41">
        <f>SUM(J126:J132)</f>
        <v>703.19</v>
      </c>
    </row>
    <row r="136" spans="1:10">
      <c r="A136" s="107" t="s">
        <v>118</v>
      </c>
      <c r="B136" s="107"/>
      <c r="C136" s="107"/>
      <c r="D136" s="108" t="s">
        <v>119</v>
      </c>
      <c r="E136" s="108"/>
      <c r="F136" s="108"/>
      <c r="G136" s="108"/>
      <c r="H136" s="108"/>
      <c r="I136" s="108"/>
      <c r="J136" s="108"/>
    </row>
    <row r="137" spans="1:10">
      <c r="A137" s="107"/>
      <c r="B137" s="107"/>
      <c r="C137" s="107"/>
      <c r="D137" s="108" t="s">
        <v>120</v>
      </c>
      <c r="E137" s="108"/>
      <c r="F137" s="108"/>
      <c r="G137" s="108"/>
      <c r="H137" s="108"/>
      <c r="I137" s="108"/>
      <c r="J137" s="108"/>
    </row>
    <row r="138" spans="1:10">
      <c r="A138" s="107"/>
      <c r="B138" s="107"/>
      <c r="C138" s="107"/>
      <c r="D138" s="108" t="s">
        <v>121</v>
      </c>
      <c r="E138" s="108"/>
      <c r="F138" s="108"/>
      <c r="G138" s="108"/>
      <c r="H138" s="108"/>
      <c r="I138" s="108"/>
      <c r="J138" s="108"/>
    </row>
    <row r="139" spans="1:10" ht="13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</row>
    <row r="140" spans="1:10" ht="46" customHeight="1">
      <c r="A140" s="102" t="s">
        <v>122</v>
      </c>
      <c r="B140" s="102"/>
      <c r="C140" s="102"/>
      <c r="D140" s="102"/>
      <c r="E140" s="102"/>
      <c r="F140" s="102"/>
      <c r="G140" s="102"/>
      <c r="H140" s="102"/>
      <c r="I140" s="102"/>
      <c r="J140" s="102"/>
    </row>
    <row r="141" spans="1:10" ht="14.65" customHeight="1">
      <c r="A141" s="103" t="s">
        <v>123</v>
      </c>
      <c r="B141" s="103"/>
      <c r="C141" s="103"/>
      <c r="D141" s="103"/>
      <c r="E141" s="103"/>
      <c r="F141" s="103"/>
      <c r="G141" s="103"/>
      <c r="H141" s="103"/>
      <c r="I141" s="103"/>
      <c r="J141" s="47" t="s">
        <v>37</v>
      </c>
    </row>
    <row r="142" spans="1:10" ht="14.65" customHeight="1">
      <c r="A142" s="48" t="s">
        <v>5</v>
      </c>
      <c r="B142" s="99" t="s">
        <v>124</v>
      </c>
      <c r="C142" s="99"/>
      <c r="D142" s="99"/>
      <c r="E142" s="99"/>
      <c r="F142" s="99"/>
      <c r="G142" s="99"/>
      <c r="H142" s="99"/>
      <c r="I142" s="99"/>
      <c r="J142" s="27">
        <f>J30</f>
        <v>3232</v>
      </c>
    </row>
    <row r="143" spans="1:10" ht="14.65" customHeight="1">
      <c r="A143" s="48" t="s">
        <v>7</v>
      </c>
      <c r="B143" s="99" t="s">
        <v>33</v>
      </c>
      <c r="C143" s="99"/>
      <c r="D143" s="99"/>
      <c r="E143" s="99"/>
      <c r="F143" s="99"/>
      <c r="G143" s="99"/>
      <c r="H143" s="99"/>
      <c r="I143" s="99"/>
      <c r="J143" s="27">
        <f>J71</f>
        <v>1904.96</v>
      </c>
    </row>
    <row r="144" spans="1:10" ht="14.65" customHeight="1">
      <c r="A144" s="48" t="s">
        <v>9</v>
      </c>
      <c r="B144" s="99" t="s">
        <v>125</v>
      </c>
      <c r="C144" s="99"/>
      <c r="D144" s="99"/>
      <c r="E144" s="99"/>
      <c r="F144" s="99"/>
      <c r="G144" s="99"/>
      <c r="H144" s="99"/>
      <c r="I144" s="99"/>
      <c r="J144" s="27">
        <f>J81</f>
        <v>136.99222222222221</v>
      </c>
    </row>
    <row r="145" spans="1:12" ht="14.65" customHeight="1">
      <c r="A145" s="48" t="s">
        <v>12</v>
      </c>
      <c r="B145" s="99" t="s">
        <v>126</v>
      </c>
      <c r="C145" s="99"/>
      <c r="D145" s="99"/>
      <c r="E145" s="99"/>
      <c r="F145" s="99"/>
      <c r="G145" s="99"/>
      <c r="H145" s="99"/>
      <c r="I145" s="99"/>
      <c r="J145" s="27">
        <f>J107</f>
        <v>299.00381555555555</v>
      </c>
    </row>
    <row r="146" spans="1:12" ht="14.65" customHeight="1">
      <c r="A146" s="48" t="s">
        <v>29</v>
      </c>
      <c r="B146" s="99" t="s">
        <v>127</v>
      </c>
      <c r="C146" s="99"/>
      <c r="D146" s="99"/>
      <c r="E146" s="99"/>
      <c r="F146" s="99"/>
      <c r="G146" s="99"/>
      <c r="H146" s="99"/>
      <c r="I146" s="99"/>
      <c r="J146" s="27">
        <f>J115</f>
        <v>243.90189393939394</v>
      </c>
    </row>
    <row r="147" spans="1:12" ht="14.65" customHeight="1">
      <c r="A147" s="100" t="s">
        <v>128</v>
      </c>
      <c r="B147" s="100"/>
      <c r="C147" s="100"/>
      <c r="D147" s="100"/>
      <c r="E147" s="100"/>
      <c r="F147" s="100"/>
      <c r="G147" s="100"/>
      <c r="H147" s="100"/>
      <c r="I147" s="100"/>
      <c r="J147" s="38">
        <f>SUM(J142:J146)</f>
        <v>5816.8579317171716</v>
      </c>
    </row>
    <row r="148" spans="1:12" ht="14.65" customHeight="1">
      <c r="A148" s="48" t="s">
        <v>53</v>
      </c>
      <c r="B148" s="99" t="s">
        <v>129</v>
      </c>
      <c r="C148" s="99"/>
      <c r="D148" s="99"/>
      <c r="E148" s="99"/>
      <c r="F148" s="99"/>
      <c r="G148" s="99"/>
      <c r="H148" s="99"/>
      <c r="I148" s="99"/>
      <c r="J148" s="27">
        <f>J133</f>
        <v>2312.61</v>
      </c>
    </row>
    <row r="149" spans="1:12" ht="14.65" customHeight="1">
      <c r="A149" s="100" t="s">
        <v>130</v>
      </c>
      <c r="B149" s="100"/>
      <c r="C149" s="100"/>
      <c r="D149" s="100"/>
      <c r="E149" s="100"/>
      <c r="F149" s="100"/>
      <c r="G149" s="100"/>
      <c r="H149" s="100"/>
      <c r="I149" s="100"/>
      <c r="J149" s="38">
        <f>SUM(J147:J148)</f>
        <v>8129.4679317171722</v>
      </c>
    </row>
    <row r="150" spans="1:12" ht="27.5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A147:I147"/>
    <mergeCell ref="B148:I148"/>
    <mergeCell ref="A149:I149"/>
    <mergeCell ref="A141:I141"/>
    <mergeCell ref="B142:I142"/>
    <mergeCell ref="B143:I143"/>
    <mergeCell ref="B144:I144"/>
    <mergeCell ref="B145:I145"/>
    <mergeCell ref="B146:I146"/>
    <mergeCell ref="A136:C138"/>
    <mergeCell ref="D136:J136"/>
    <mergeCell ref="D137:J137"/>
    <mergeCell ref="D138:J138"/>
    <mergeCell ref="A139:J139"/>
    <mergeCell ref="A140:J140"/>
    <mergeCell ref="B130:H130"/>
    <mergeCell ref="B131:H131"/>
    <mergeCell ref="B132:H132"/>
    <mergeCell ref="A133:I133"/>
    <mergeCell ref="A134:J134"/>
    <mergeCell ref="A135:H135"/>
    <mergeCell ref="B124:H124"/>
    <mergeCell ref="B125:H125"/>
    <mergeCell ref="B126:H126"/>
    <mergeCell ref="B127:H127"/>
    <mergeCell ref="B128:H128"/>
    <mergeCell ref="B129:H129"/>
    <mergeCell ref="B118:H118"/>
    <mergeCell ref="A119:H119"/>
    <mergeCell ref="B120:H120"/>
    <mergeCell ref="A121:H121"/>
    <mergeCell ref="B122:H122"/>
    <mergeCell ref="A123:H123"/>
    <mergeCell ref="B112:I112"/>
    <mergeCell ref="B113:I113"/>
    <mergeCell ref="B114:I114"/>
    <mergeCell ref="A115:I115"/>
    <mergeCell ref="A116:J116"/>
    <mergeCell ref="A117:J117"/>
    <mergeCell ref="B106:I106"/>
    <mergeCell ref="A107:I107"/>
    <mergeCell ref="A108:J108"/>
    <mergeCell ref="A109:J109"/>
    <mergeCell ref="B110:I110"/>
    <mergeCell ref="B111:I111"/>
    <mergeCell ref="B100:I100"/>
    <mergeCell ref="A101:I101"/>
    <mergeCell ref="A102:J102"/>
    <mergeCell ref="A103:J103"/>
    <mergeCell ref="B104:I104"/>
    <mergeCell ref="B105:I105"/>
    <mergeCell ref="B94:I94"/>
    <mergeCell ref="A95:I95"/>
    <mergeCell ref="A96:J96"/>
    <mergeCell ref="B97:I97"/>
    <mergeCell ref="B98:I98"/>
    <mergeCell ref="A99:I99"/>
    <mergeCell ref="B88:I88"/>
    <mergeCell ref="B89:I89"/>
    <mergeCell ref="B90:I90"/>
    <mergeCell ref="B91:I91"/>
    <mergeCell ref="B92:I92"/>
    <mergeCell ref="A93:I93"/>
    <mergeCell ref="A82:J82"/>
    <mergeCell ref="A83:J83"/>
    <mergeCell ref="A84:I84"/>
    <mergeCell ref="A85:J85"/>
    <mergeCell ref="B86:I86"/>
    <mergeCell ref="B87:H87"/>
    <mergeCell ref="B76:I76"/>
    <mergeCell ref="B77:H77"/>
    <mergeCell ref="B78:I78"/>
    <mergeCell ref="B79:I79"/>
    <mergeCell ref="B80:H80"/>
    <mergeCell ref="A81:I81"/>
    <mergeCell ref="C70:I70"/>
    <mergeCell ref="A71:I71"/>
    <mergeCell ref="A72:J72"/>
    <mergeCell ref="A73:J73"/>
    <mergeCell ref="B74:I74"/>
    <mergeCell ref="B75:I75"/>
    <mergeCell ref="A64:I64"/>
    <mergeCell ref="A65:J65"/>
    <mergeCell ref="A66:J66"/>
    <mergeCell ref="B67:I67"/>
    <mergeCell ref="C68:I68"/>
    <mergeCell ref="C69:I69"/>
    <mergeCell ref="B58:H58"/>
    <mergeCell ref="B59:H59"/>
    <mergeCell ref="B60:H60"/>
    <mergeCell ref="B61:I61"/>
    <mergeCell ref="B62:I62"/>
    <mergeCell ref="B63:I63"/>
    <mergeCell ref="B52:I52"/>
    <mergeCell ref="B53:I53"/>
    <mergeCell ref="B54:H54"/>
    <mergeCell ref="B55:H55"/>
    <mergeCell ref="B56:H56"/>
    <mergeCell ref="B57:I57"/>
    <mergeCell ref="B46:H46"/>
    <mergeCell ref="B47:H47"/>
    <mergeCell ref="B48:H48"/>
    <mergeCell ref="A49:H49"/>
    <mergeCell ref="A50:J50"/>
    <mergeCell ref="A51:J51"/>
    <mergeCell ref="B40:H40"/>
    <mergeCell ref="B41:H41"/>
    <mergeCell ref="B42:H42"/>
    <mergeCell ref="B43:D43"/>
    <mergeCell ref="B44:H44"/>
    <mergeCell ref="B45:H45"/>
    <mergeCell ref="B36:H36"/>
    <mergeCell ref="A37:I37"/>
    <mergeCell ref="A38:J38"/>
    <mergeCell ref="A39:J39"/>
    <mergeCell ref="A30:I30"/>
    <mergeCell ref="A31:J31"/>
    <mergeCell ref="A32:J32"/>
    <mergeCell ref="A33:J33"/>
    <mergeCell ref="B34:I34"/>
    <mergeCell ref="B35:H35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17:G17"/>
    <mergeCell ref="H17:J17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A1:J1"/>
    <mergeCell ref="A2:J2"/>
    <mergeCell ref="A3:G3"/>
    <mergeCell ref="H3:J3"/>
    <mergeCell ref="A4:G4"/>
    <mergeCell ref="H4:J4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23</vt:i4>
      </vt:variant>
      <vt:variant>
        <vt:lpstr>Intervalos Nomeados</vt:lpstr>
      </vt:variant>
      <vt:variant>
        <vt:i4>23</vt:i4>
      </vt:variant>
    </vt:vector>
  </HeadingPairs>
  <TitlesOfParts>
    <vt:vector size="46" baseType="lpstr">
      <vt:lpstr>Almoxarife</vt:lpstr>
      <vt:lpstr>Aux Eletri 44</vt:lpstr>
      <vt:lpstr>Aux Eletri 40</vt:lpstr>
      <vt:lpstr>Auxiliar de Refrigeração 44</vt:lpstr>
      <vt:lpstr>Auxiliar de Refrigeração 40</vt:lpstr>
      <vt:lpstr>Auxiliar produção (servente) 44</vt:lpstr>
      <vt:lpstr>Auxiliar produção (servente) 40</vt:lpstr>
      <vt:lpstr>Bombeiro Hidraulico 44</vt:lpstr>
      <vt:lpstr>Engenheiro Civil</vt:lpstr>
      <vt:lpstr>Engenheiro Eletricista</vt:lpstr>
      <vt:lpstr>Engenheiro Mecanico</vt:lpstr>
      <vt:lpstr>Gesseiro</vt:lpstr>
      <vt:lpstr>Marceneiro</vt:lpstr>
      <vt:lpstr>Mecânico de Refrigeração 44</vt:lpstr>
      <vt:lpstr>Mecânico de Refrigeração 40</vt:lpstr>
      <vt:lpstr>Oficial de Manutenção Predia 44</vt:lpstr>
      <vt:lpstr>Oficial de Manutenção Predi 40</vt:lpstr>
      <vt:lpstr>Ténico em Edificações</vt:lpstr>
      <vt:lpstr>Técnico em Eletricidade 44</vt:lpstr>
      <vt:lpstr>Técnico em Eletricidade 40</vt:lpstr>
      <vt:lpstr>Técnico em Seg. do Trab.</vt:lpstr>
      <vt:lpstr>RESUMO</vt:lpstr>
      <vt:lpstr>Descritivo</vt:lpstr>
      <vt:lpstr>Almoxarife!Area_de_impressao</vt:lpstr>
      <vt:lpstr>'Aux Eletri 40'!Area_de_impressao</vt:lpstr>
      <vt:lpstr>'Aux Eletri 44'!Area_de_impressao</vt:lpstr>
      <vt:lpstr>'Auxiliar de Refrigeração 40'!Area_de_impressao</vt:lpstr>
      <vt:lpstr>'Auxiliar de Refrigeração 44'!Area_de_impressao</vt:lpstr>
      <vt:lpstr>'Auxiliar produção (servente) 40'!Area_de_impressao</vt:lpstr>
      <vt:lpstr>'Auxiliar produção (servente) 44'!Area_de_impressao</vt:lpstr>
      <vt:lpstr>'Bombeiro Hidraulico 44'!Area_de_impressao</vt:lpstr>
      <vt:lpstr>Descritivo!Area_de_impressao</vt:lpstr>
      <vt:lpstr>'Engenheiro Civil'!Area_de_impressao</vt:lpstr>
      <vt:lpstr>'Engenheiro Eletricista'!Area_de_impressao</vt:lpstr>
      <vt:lpstr>'Engenheiro Mecanico'!Area_de_impressao</vt:lpstr>
      <vt:lpstr>Gesseiro!Area_de_impressao</vt:lpstr>
      <vt:lpstr>Marceneiro!Area_de_impressao</vt:lpstr>
      <vt:lpstr>'Mecânico de Refrigeração 40'!Area_de_impressao</vt:lpstr>
      <vt:lpstr>'Mecânico de Refrigeração 44'!Area_de_impressao</vt:lpstr>
      <vt:lpstr>'Oficial de Manutenção Predi 40'!Area_de_impressao</vt:lpstr>
      <vt:lpstr>'Oficial de Manutenção Predia 44'!Area_de_impressao</vt:lpstr>
      <vt:lpstr>RESUMO!Area_de_impressao</vt:lpstr>
      <vt:lpstr>'Técnico em Eletricidade 40'!Area_de_impressao</vt:lpstr>
      <vt:lpstr>'Técnico em Eletricidade 44'!Area_de_impressao</vt:lpstr>
      <vt:lpstr>'Técnico em Seg. do Trab.'!Area_de_impressao</vt:lpstr>
      <vt:lpstr>'Ténico em Edificações'!Area_de_impressao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Claus de Rosso Bolzan</dc:creator>
  <cp:lastModifiedBy>Elaine Maria Molina Fernandes dos Reis</cp:lastModifiedBy>
  <cp:revision>4</cp:revision>
  <cp:lastPrinted>2019-04-04T21:12:36Z</cp:lastPrinted>
  <dcterms:created xsi:type="dcterms:W3CDTF">2018-02-21T17:13:10Z</dcterms:created>
  <dcterms:modified xsi:type="dcterms:W3CDTF">2022-02-14T20:52:36Z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