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S:\Documentos\Comercial\Contrato\Público\Lince Patrimonial\RS\UFCSPA (RS) PRE 122018 - Vig. Arm e Desarm\Planilhas\"/>
    </mc:Choice>
  </mc:AlternateContent>
  <bookViews>
    <workbookView xWindow="0" yWindow="0" windowWidth="24000" windowHeight="9735" tabRatio="958"/>
  </bookViews>
  <sheets>
    <sheet name="Proposta" sheetId="92" r:id="rId1"/>
    <sheet name="44 Diurno Desarm " sheetId="121" state="hidden" r:id="rId2"/>
    <sheet name="12 x 36 Diurno Desarm" sheetId="106" state="hidden" r:id="rId3"/>
    <sheet name="12 x 36 Noturno Desarm" sheetId="116" state="hidden" r:id="rId4"/>
    <sheet name="12 x 36 Diurno Desarm- 2ª a Sáb" sheetId="127" r:id="rId5"/>
    <sheet name="12x36 Noturno Desarm- 2ª a Sáb" sheetId="128" r:id="rId6"/>
    <sheet name="12 x 36 Diurno Arm" sheetId="122" state="hidden" r:id="rId7"/>
    <sheet name="12 x 36 Noturno Arm" sheetId="123" state="hidden" r:id="rId8"/>
    <sheet name="6 hs Noturno CFTV" sheetId="124" state="hidden" r:id="rId9"/>
    <sheet name="6 hs Diurno CFTV" sheetId="125" state="hidden" r:id="rId10"/>
    <sheet name="Encargos Sociais" sheetId="107" state="hidden" r:id="rId11"/>
    <sheet name="Uniformes e Equiptos" sheetId="126" r:id="rId12"/>
  </sheets>
  <definedNames>
    <definedName name="_xlnm.Print_Area" localSheetId="6">'12 x 36 Diurno Arm'!$A$1:$J$134</definedName>
    <definedName name="_xlnm.Print_Area" localSheetId="2">'12 x 36 Diurno Desarm'!$A$1:$J$134</definedName>
    <definedName name="_xlnm.Print_Area" localSheetId="4">'12 x 36 Diurno Desarm- 2ª a Sáb'!$A$1:$J$134</definedName>
    <definedName name="_xlnm.Print_Area" localSheetId="7">'12 x 36 Noturno Arm'!$A$1:$J$134</definedName>
    <definedName name="_xlnm.Print_Area" localSheetId="3">'12 x 36 Noturno Desarm'!$A$1:$J$134</definedName>
    <definedName name="_xlnm.Print_Area" localSheetId="5">'12x36 Noturno Desarm- 2ª a Sáb'!$A$1:$J$134</definedName>
    <definedName name="_xlnm.Print_Area" localSheetId="1">'44 Diurno Desarm '!$A$1:$J$134</definedName>
    <definedName name="_xlnm.Print_Area" localSheetId="9">'6 hs Diurno CFTV'!$A$1:$J$134</definedName>
    <definedName name="_xlnm.Print_Area" localSheetId="8">'6 hs Noturno CFTV'!$A$1:$J$134</definedName>
    <definedName name="_xlnm.Print_Area" localSheetId="10">'Encargos Sociais'!$A$1:$F$117</definedName>
    <definedName name="_xlnm.Print_Area" localSheetId="0">Proposta!$A$1:$G$64</definedName>
    <definedName name="CPMF" localSheetId="5">#REF!</definedName>
    <definedName name="CPMF" localSheetId="10">#REF!</definedName>
    <definedName name="CPMF">#REF!</definedName>
    <definedName name="Excel_BuiltIn_Print_Area_1_1">"$#REF!.$A$2:$C$99"</definedName>
  </definedNames>
  <calcPr calcId="152511" iterate="1" iterateCount="2"/>
</workbook>
</file>

<file path=xl/calcChain.xml><?xml version="1.0" encoding="utf-8"?>
<calcChain xmlns="http://schemas.openxmlformats.org/spreadsheetml/2006/main">
  <c r="D19" i="92" l="1"/>
  <c r="J132" i="128"/>
  <c r="I96" i="128"/>
  <c r="I97" i="128" s="1"/>
  <c r="I104" i="128" s="1"/>
  <c r="J36" i="128"/>
  <c r="J35" i="128"/>
  <c r="J132" i="127"/>
  <c r="J59" i="127"/>
  <c r="E19" i="92"/>
  <c r="F19" i="92" s="1"/>
  <c r="I134" i="128"/>
  <c r="J133" i="128"/>
  <c r="I121" i="128"/>
  <c r="D120" i="128"/>
  <c r="D121" i="128" s="1"/>
  <c r="I111" i="128"/>
  <c r="J110" i="128"/>
  <c r="J109" i="128"/>
  <c r="J108" i="128"/>
  <c r="J111" i="128" s="1"/>
  <c r="J129" i="128" s="1"/>
  <c r="J96" i="128"/>
  <c r="J97" i="128" s="1"/>
  <c r="J103" i="128" s="1"/>
  <c r="I93" i="128"/>
  <c r="I89" i="128"/>
  <c r="D88" i="128"/>
  <c r="D87" i="128"/>
  <c r="D86" i="128"/>
  <c r="D85" i="128"/>
  <c r="D84" i="128"/>
  <c r="D83" i="128"/>
  <c r="I79" i="128"/>
  <c r="D78" i="128"/>
  <c r="D77" i="128"/>
  <c r="D76" i="128"/>
  <c r="D75" i="128"/>
  <c r="D74" i="128"/>
  <c r="D73" i="128"/>
  <c r="D79" i="128" s="1"/>
  <c r="I69" i="128"/>
  <c r="I62" i="128"/>
  <c r="B60" i="128"/>
  <c r="B59" i="128"/>
  <c r="I56" i="128"/>
  <c r="D55" i="128"/>
  <c r="D54" i="128"/>
  <c r="D53" i="128"/>
  <c r="D52" i="128"/>
  <c r="D51" i="128"/>
  <c r="D50" i="128"/>
  <c r="D49" i="128"/>
  <c r="D48" i="128"/>
  <c r="D56" i="128" s="1"/>
  <c r="I45" i="128"/>
  <c r="D44" i="128"/>
  <c r="D43" i="128"/>
  <c r="I39" i="128"/>
  <c r="J32" i="128"/>
  <c r="J33" i="128" s="1"/>
  <c r="J28" i="128"/>
  <c r="J24" i="128"/>
  <c r="J27" i="128" s="1"/>
  <c r="M22" i="128"/>
  <c r="M21" i="128"/>
  <c r="M23" i="128" s="1"/>
  <c r="J60" i="128" s="1"/>
  <c r="M17" i="128"/>
  <c r="J59" i="128" s="1"/>
  <c r="J62" i="128" s="1"/>
  <c r="J68" i="128" s="1"/>
  <c r="J34" i="128" l="1"/>
  <c r="D45" i="128"/>
  <c r="D92" i="128" s="1"/>
  <c r="D89" i="128"/>
  <c r="J25" i="128"/>
  <c r="J26" i="128"/>
  <c r="F20" i="126"/>
  <c r="F21" i="126"/>
  <c r="F17" i="126"/>
  <c r="D93" i="128" l="1"/>
  <c r="J37" i="128"/>
  <c r="J39" i="128" s="1"/>
  <c r="J125" i="128" s="1"/>
  <c r="K37" i="128"/>
  <c r="F40" i="126"/>
  <c r="F35" i="126"/>
  <c r="F33" i="126"/>
  <c r="F28" i="126"/>
  <c r="F23" i="126"/>
  <c r="F19" i="126"/>
  <c r="K39" i="128" l="1"/>
  <c r="J78" i="128" s="1"/>
  <c r="J77" i="128"/>
  <c r="J75" i="128"/>
  <c r="J73" i="128"/>
  <c r="J54" i="128"/>
  <c r="J52" i="128"/>
  <c r="J50" i="128"/>
  <c r="J48" i="128"/>
  <c r="J43" i="128"/>
  <c r="J44" i="128"/>
  <c r="J87" i="128"/>
  <c r="J88" i="128"/>
  <c r="F22" i="126"/>
  <c r="J92" i="128" l="1"/>
  <c r="J93" i="128" s="1"/>
  <c r="J84" i="128"/>
  <c r="J83" i="128"/>
  <c r="J86" i="128"/>
  <c r="J85" i="128"/>
  <c r="J49" i="128"/>
  <c r="J51" i="128"/>
  <c r="J53" i="128"/>
  <c r="J55" i="128"/>
  <c r="J74" i="128"/>
  <c r="J76" i="128"/>
  <c r="J45" i="128"/>
  <c r="J66" i="128" s="1"/>
  <c r="J79" i="128"/>
  <c r="J127" i="128" s="1"/>
  <c r="I96" i="106"/>
  <c r="I96" i="116"/>
  <c r="I96" i="127"/>
  <c r="I96" i="122"/>
  <c r="I96" i="123"/>
  <c r="I96" i="125"/>
  <c r="I96" i="124"/>
  <c r="J56" i="128" l="1"/>
  <c r="J67" i="128" s="1"/>
  <c r="J89" i="128"/>
  <c r="J102" i="128" s="1"/>
  <c r="J104" i="128" s="1"/>
  <c r="J128" i="128" s="1"/>
  <c r="J69" i="128"/>
  <c r="J126" i="128" s="1"/>
  <c r="F39" i="126"/>
  <c r="F38" i="126"/>
  <c r="F37" i="126"/>
  <c r="F36" i="126"/>
  <c r="F34" i="126"/>
  <c r="F24" i="126"/>
  <c r="F27" i="126"/>
  <c r="F26" i="126"/>
  <c r="F25" i="126"/>
  <c r="F18" i="126"/>
  <c r="F4" i="126"/>
  <c r="F5" i="126"/>
  <c r="F6" i="126"/>
  <c r="F7" i="126"/>
  <c r="F8" i="126"/>
  <c r="F9" i="126"/>
  <c r="F10" i="126"/>
  <c r="F11" i="126"/>
  <c r="F3" i="126"/>
  <c r="I28" i="106"/>
  <c r="I28" i="116"/>
  <c r="I28" i="127"/>
  <c r="I28" i="122"/>
  <c r="I28" i="123"/>
  <c r="I28" i="124"/>
  <c r="I28" i="125"/>
  <c r="I28" i="121"/>
  <c r="I111" i="106"/>
  <c r="I97" i="106"/>
  <c r="I103" i="106" s="1"/>
  <c r="I93" i="106"/>
  <c r="I89" i="106"/>
  <c r="I79" i="106"/>
  <c r="I62" i="106"/>
  <c r="I56" i="106"/>
  <c r="I45" i="106"/>
  <c r="I26" i="106"/>
  <c r="I25" i="106"/>
  <c r="I24" i="106"/>
  <c r="I27" i="106" s="1"/>
  <c r="I111" i="116"/>
  <c r="I97" i="116"/>
  <c r="I103" i="116" s="1"/>
  <c r="I93" i="116"/>
  <c r="I79" i="116"/>
  <c r="I62" i="116"/>
  <c r="I45" i="116"/>
  <c r="I27" i="116"/>
  <c r="I26" i="116"/>
  <c r="I25" i="116"/>
  <c r="I24" i="116"/>
  <c r="I97" i="127"/>
  <c r="I103" i="127" s="1"/>
  <c r="I93" i="127"/>
  <c r="I89" i="127"/>
  <c r="I104" i="127" s="1"/>
  <c r="I79" i="127"/>
  <c r="I62" i="127"/>
  <c r="I56" i="127"/>
  <c r="I45" i="127"/>
  <c r="I39" i="127"/>
  <c r="I25" i="127"/>
  <c r="I24" i="127"/>
  <c r="I26" i="127" s="1"/>
  <c r="I111" i="122"/>
  <c r="I97" i="122"/>
  <c r="I103" i="122" s="1"/>
  <c r="I93" i="122"/>
  <c r="I89" i="122"/>
  <c r="I79" i="122"/>
  <c r="I62" i="122"/>
  <c r="I56" i="122"/>
  <c r="I27" i="122"/>
  <c r="I26" i="122"/>
  <c r="I25" i="122"/>
  <c r="I24" i="122"/>
  <c r="I111" i="123"/>
  <c r="I103" i="123"/>
  <c r="I97" i="123"/>
  <c r="I93" i="123"/>
  <c r="I89" i="123"/>
  <c r="I79" i="123"/>
  <c r="I62" i="123"/>
  <c r="I56" i="123"/>
  <c r="I45" i="123"/>
  <c r="I27" i="123"/>
  <c r="I26" i="123"/>
  <c r="I25" i="123"/>
  <c r="I24" i="123"/>
  <c r="I111" i="124"/>
  <c r="I97" i="124"/>
  <c r="I103" i="124" s="1"/>
  <c r="I93" i="124"/>
  <c r="I89" i="124"/>
  <c r="I79" i="124"/>
  <c r="I62" i="124"/>
  <c r="I45" i="124"/>
  <c r="I27" i="124"/>
  <c r="I26" i="124"/>
  <c r="I25" i="124"/>
  <c r="I24" i="124"/>
  <c r="I111" i="125"/>
  <c r="I97" i="125"/>
  <c r="I103" i="125" s="1"/>
  <c r="I93" i="125"/>
  <c r="I89" i="125"/>
  <c r="I104" i="125" s="1"/>
  <c r="I79" i="125"/>
  <c r="I62" i="125"/>
  <c r="I56" i="125"/>
  <c r="I45" i="125"/>
  <c r="I24" i="125"/>
  <c r="I27" i="125" s="1"/>
  <c r="I103" i="121"/>
  <c r="I97" i="121"/>
  <c r="I93" i="121"/>
  <c r="I89" i="121"/>
  <c r="I104" i="121" s="1"/>
  <c r="I79" i="121"/>
  <c r="I62" i="121"/>
  <c r="I56" i="121"/>
  <c r="I27" i="121"/>
  <c r="I24" i="121"/>
  <c r="I25" i="121" s="1"/>
  <c r="J130" i="128" l="1"/>
  <c r="J115" i="128" s="1"/>
  <c r="I104" i="124"/>
  <c r="I104" i="106"/>
  <c r="I69" i="123"/>
  <c r="I39" i="122"/>
  <c r="I69" i="106"/>
  <c r="I69" i="124"/>
  <c r="I69" i="125"/>
  <c r="I104" i="123"/>
  <c r="I104" i="122"/>
  <c r="I69" i="127"/>
  <c r="I39" i="121"/>
  <c r="I111" i="121"/>
  <c r="I25" i="125"/>
  <c r="I27" i="127"/>
  <c r="I111" i="127"/>
  <c r="I39" i="116"/>
  <c r="I89" i="116"/>
  <c r="I104" i="116" s="1"/>
  <c r="I26" i="125"/>
  <c r="I56" i="124"/>
  <c r="I26" i="121"/>
  <c r="I45" i="121"/>
  <c r="I69" i="121" s="1"/>
  <c r="I45" i="122"/>
  <c r="I69" i="122" s="1"/>
  <c r="I56" i="116"/>
  <c r="I69" i="116" s="1"/>
  <c r="J116" i="128" l="1"/>
  <c r="J120" i="128" s="1"/>
  <c r="J119" i="128"/>
  <c r="I134" i="127"/>
  <c r="I121" i="127"/>
  <c r="I121" i="116"/>
  <c r="I39" i="123"/>
  <c r="I39" i="106"/>
  <c r="I39" i="125"/>
  <c r="I39" i="124"/>
  <c r="J121" i="128" l="1"/>
  <c r="J131" i="128" s="1"/>
  <c r="J134" i="128" s="1"/>
  <c r="J118" i="128"/>
  <c r="I134" i="116"/>
  <c r="I121" i="124"/>
  <c r="I134" i="124"/>
  <c r="I134" i="106"/>
  <c r="I121" i="106"/>
  <c r="I121" i="122"/>
  <c r="I134" i="122"/>
  <c r="I121" i="125"/>
  <c r="I134" i="125"/>
  <c r="I121" i="123"/>
  <c r="I134" i="123"/>
  <c r="C41" i="107" l="1"/>
  <c r="C55" i="107"/>
  <c r="J28" i="125" l="1"/>
  <c r="P21" i="92" l="1"/>
  <c r="P20" i="92"/>
  <c r="J133" i="127"/>
  <c r="D120" i="127"/>
  <c r="D121" i="127" s="1"/>
  <c r="J110" i="127"/>
  <c r="J96" i="127"/>
  <c r="J97" i="127" s="1"/>
  <c r="J103" i="127" s="1"/>
  <c r="D88" i="127"/>
  <c r="D87" i="127"/>
  <c r="D86" i="127"/>
  <c r="D85" i="127"/>
  <c r="D84" i="127"/>
  <c r="D83" i="127"/>
  <c r="D89" i="127" s="1"/>
  <c r="D78" i="127"/>
  <c r="D77" i="127"/>
  <c r="D76" i="127"/>
  <c r="D75" i="127"/>
  <c r="D74" i="127"/>
  <c r="D73" i="127"/>
  <c r="B60" i="127"/>
  <c r="B59" i="127"/>
  <c r="D55" i="127"/>
  <c r="D54" i="127"/>
  <c r="D53" i="127"/>
  <c r="D52" i="127"/>
  <c r="D51" i="127"/>
  <c r="D50" i="127"/>
  <c r="D49" i="127"/>
  <c r="D48" i="127"/>
  <c r="D56" i="127" s="1"/>
  <c r="D44" i="127"/>
  <c r="D43" i="127"/>
  <c r="D45" i="127" s="1"/>
  <c r="J32" i="127"/>
  <c r="J33" i="127" s="1"/>
  <c r="J28" i="127"/>
  <c r="J24" i="127"/>
  <c r="J27" i="127" s="1"/>
  <c r="M21" i="127"/>
  <c r="D120" i="125"/>
  <c r="D121" i="125" s="1"/>
  <c r="D120" i="124"/>
  <c r="D121" i="124" s="1"/>
  <c r="J110" i="125"/>
  <c r="J110" i="124"/>
  <c r="J96" i="125"/>
  <c r="J97" i="125" s="1"/>
  <c r="J103" i="125" s="1"/>
  <c r="J96" i="124"/>
  <c r="J97" i="124" s="1"/>
  <c r="J103" i="124" s="1"/>
  <c r="B60" i="125"/>
  <c r="B60" i="124"/>
  <c r="B59" i="125"/>
  <c r="B59" i="124"/>
  <c r="M21" i="125"/>
  <c r="M22" i="125" s="1"/>
  <c r="M23" i="125" s="1"/>
  <c r="G3" i="126"/>
  <c r="H3" i="126" s="1"/>
  <c r="G4" i="126"/>
  <c r="H4" i="126" s="1"/>
  <c r="G5" i="126"/>
  <c r="H5" i="126" s="1"/>
  <c r="G6" i="126"/>
  <c r="H6" i="126" s="1"/>
  <c r="G7" i="126"/>
  <c r="H7" i="126" s="1"/>
  <c r="G8" i="126"/>
  <c r="H8" i="126" s="1"/>
  <c r="G9" i="126"/>
  <c r="H9" i="126" s="1"/>
  <c r="G10" i="126"/>
  <c r="H10" i="126" s="1"/>
  <c r="G11" i="126"/>
  <c r="H11" i="126" s="1"/>
  <c r="G17" i="126"/>
  <c r="H17" i="126" s="1"/>
  <c r="G18" i="126"/>
  <c r="H18" i="126" s="1"/>
  <c r="G19" i="126"/>
  <c r="H19" i="126" s="1"/>
  <c r="G20" i="126"/>
  <c r="H20" i="126" s="1"/>
  <c r="G21" i="126"/>
  <c r="H21" i="126" s="1"/>
  <c r="G22" i="126"/>
  <c r="H22" i="126" s="1"/>
  <c r="G23" i="126"/>
  <c r="H23" i="126" s="1"/>
  <c r="G24" i="126"/>
  <c r="H24" i="126" s="1"/>
  <c r="G25" i="126"/>
  <c r="H25" i="126" s="1"/>
  <c r="G26" i="126"/>
  <c r="H26" i="126" s="1"/>
  <c r="G27" i="126"/>
  <c r="H27" i="126" s="1"/>
  <c r="G28" i="126"/>
  <c r="H28" i="126" s="1"/>
  <c r="G33" i="126"/>
  <c r="H33" i="126" s="1"/>
  <c r="G34" i="126"/>
  <c r="H34" i="126" s="1"/>
  <c r="G35" i="126"/>
  <c r="H35" i="126" s="1"/>
  <c r="G36" i="126"/>
  <c r="H36" i="126" s="1"/>
  <c r="G37" i="126"/>
  <c r="H37" i="126" s="1"/>
  <c r="G38" i="126"/>
  <c r="H38" i="126" s="1"/>
  <c r="G39" i="126"/>
  <c r="H39" i="126" s="1"/>
  <c r="G40" i="126"/>
  <c r="H40" i="126" s="1"/>
  <c r="J24" i="125"/>
  <c r="J26" i="125" s="1"/>
  <c r="J32" i="125"/>
  <c r="J34" i="125" s="1"/>
  <c r="J37" i="125" s="1"/>
  <c r="D48" i="125"/>
  <c r="D49" i="125"/>
  <c r="D51" i="125"/>
  <c r="D52" i="125"/>
  <c r="D53" i="125"/>
  <c r="D54" i="125"/>
  <c r="D55" i="125"/>
  <c r="J133" i="125"/>
  <c r="J24" i="124"/>
  <c r="J25" i="124" s="1"/>
  <c r="J28" i="124"/>
  <c r="J32" i="124"/>
  <c r="D48" i="124"/>
  <c r="D49" i="124"/>
  <c r="D51" i="124"/>
  <c r="D52" i="124"/>
  <c r="D53" i="124"/>
  <c r="D54" i="124"/>
  <c r="D55" i="124"/>
  <c r="J133" i="124"/>
  <c r="M21" i="124"/>
  <c r="M22" i="124" s="1"/>
  <c r="M23" i="124" s="1"/>
  <c r="J24" i="123"/>
  <c r="J25" i="123" s="1"/>
  <c r="J28" i="123"/>
  <c r="J32" i="123"/>
  <c r="J33" i="123" s="1"/>
  <c r="D48" i="123"/>
  <c r="D49" i="123"/>
  <c r="D51" i="123"/>
  <c r="D52" i="123"/>
  <c r="D53" i="123"/>
  <c r="D54" i="123"/>
  <c r="D55" i="123"/>
  <c r="B59" i="123"/>
  <c r="B60" i="123"/>
  <c r="J96" i="123"/>
  <c r="J97" i="123" s="1"/>
  <c r="J103" i="123" s="1"/>
  <c r="J110" i="123"/>
  <c r="D120" i="123"/>
  <c r="J133" i="123"/>
  <c r="M21" i="123"/>
  <c r="M22" i="123" s="1"/>
  <c r="M23" i="123" s="1"/>
  <c r="J60" i="123" s="1"/>
  <c r="J24" i="122"/>
  <c r="J25" i="122" s="1"/>
  <c r="J28" i="122"/>
  <c r="J32" i="122"/>
  <c r="J33" i="122" s="1"/>
  <c r="D48" i="122"/>
  <c r="D49" i="122"/>
  <c r="D51" i="122"/>
  <c r="D52" i="122"/>
  <c r="D53" i="122"/>
  <c r="D54" i="122"/>
  <c r="D55" i="122"/>
  <c r="B59" i="122"/>
  <c r="B60" i="122"/>
  <c r="J96" i="122"/>
  <c r="J97" i="122" s="1"/>
  <c r="J103" i="122" s="1"/>
  <c r="J110" i="122"/>
  <c r="D120" i="122"/>
  <c r="D121" i="122" s="1"/>
  <c r="J133" i="122"/>
  <c r="M21" i="122"/>
  <c r="M22" i="122" s="1"/>
  <c r="J24" i="116"/>
  <c r="J27" i="116" s="1"/>
  <c r="J28" i="116"/>
  <c r="J32" i="116"/>
  <c r="J34" i="116" s="1"/>
  <c r="K37" i="116" s="1"/>
  <c r="D48" i="116"/>
  <c r="D49" i="116"/>
  <c r="D51" i="116"/>
  <c r="D52" i="116"/>
  <c r="D53" i="116"/>
  <c r="D54" i="116"/>
  <c r="D55" i="116"/>
  <c r="B59" i="116"/>
  <c r="B60" i="116"/>
  <c r="J96" i="116"/>
  <c r="J97" i="116" s="1"/>
  <c r="J103" i="116" s="1"/>
  <c r="J110" i="116"/>
  <c r="D120" i="116"/>
  <c r="J133" i="116"/>
  <c r="M21" i="116"/>
  <c r="M22" i="116" s="1"/>
  <c r="M23" i="116" s="1"/>
  <c r="J60" i="116" s="1"/>
  <c r="J24" i="106"/>
  <c r="J27" i="106" s="1"/>
  <c r="J28" i="106"/>
  <c r="J32" i="106"/>
  <c r="J34" i="106" s="1"/>
  <c r="D48" i="106"/>
  <c r="D49" i="106"/>
  <c r="D51" i="106"/>
  <c r="D52" i="106"/>
  <c r="D53" i="106"/>
  <c r="D54" i="106"/>
  <c r="D55" i="106"/>
  <c r="B59" i="106"/>
  <c r="B60" i="106"/>
  <c r="J96" i="106"/>
  <c r="J97" i="106" s="1"/>
  <c r="J103" i="106" s="1"/>
  <c r="J110" i="106"/>
  <c r="D120" i="106"/>
  <c r="J133" i="106"/>
  <c r="M21" i="106"/>
  <c r="M22" i="106" s="1"/>
  <c r="M23" i="106" s="1"/>
  <c r="J60" i="106" s="1"/>
  <c r="M21" i="121"/>
  <c r="M22" i="121" s="1"/>
  <c r="J24" i="121"/>
  <c r="J27" i="121" s="1"/>
  <c r="J28" i="121"/>
  <c r="J32" i="121"/>
  <c r="J38" i="121" s="1"/>
  <c r="D48" i="121"/>
  <c r="D49" i="121"/>
  <c r="D51" i="121"/>
  <c r="D52" i="121"/>
  <c r="D53" i="121"/>
  <c r="D54" i="121"/>
  <c r="D55" i="121"/>
  <c r="B59" i="121"/>
  <c r="B60" i="121"/>
  <c r="J97" i="121"/>
  <c r="J103" i="121" s="1"/>
  <c r="J110" i="121"/>
  <c r="D120" i="121"/>
  <c r="D121" i="121" s="1"/>
  <c r="J133" i="121"/>
  <c r="C26" i="92"/>
  <c r="J26" i="106"/>
  <c r="J25" i="106"/>
  <c r="J27" i="122"/>
  <c r="J34" i="123"/>
  <c r="K37" i="123" s="1"/>
  <c r="D121" i="116"/>
  <c r="D121" i="123"/>
  <c r="J25" i="125"/>
  <c r="K37" i="106"/>
  <c r="J37" i="106"/>
  <c r="J33" i="106"/>
  <c r="M17" i="106"/>
  <c r="J59" i="106" s="1"/>
  <c r="M17" i="116"/>
  <c r="J59" i="116" s="1"/>
  <c r="M17" i="122"/>
  <c r="J59" i="122" s="1"/>
  <c r="J34" i="122"/>
  <c r="M17" i="123"/>
  <c r="J59" i="123" s="1"/>
  <c r="D121" i="106"/>
  <c r="D84" i="123"/>
  <c r="D84" i="106"/>
  <c r="D84" i="121"/>
  <c r="D84" i="125"/>
  <c r="D84" i="116"/>
  <c r="D84" i="124"/>
  <c r="D84" i="122"/>
  <c r="D50" i="124"/>
  <c r="D50" i="116"/>
  <c r="D50" i="121"/>
  <c r="D50" i="123"/>
  <c r="D50" i="125"/>
  <c r="D50" i="106"/>
  <c r="D85" i="122"/>
  <c r="D85" i="116"/>
  <c r="D86" i="124"/>
  <c r="D86" i="122"/>
  <c r="D86" i="116"/>
  <c r="D86" i="121"/>
  <c r="D86" i="106"/>
  <c r="D86" i="123"/>
  <c r="D86" i="125"/>
  <c r="D88" i="123"/>
  <c r="D88" i="125"/>
  <c r="D88" i="124"/>
  <c r="D88" i="116"/>
  <c r="D88" i="122"/>
  <c r="D88" i="106"/>
  <c r="D88" i="121"/>
  <c r="D87" i="116"/>
  <c r="D87" i="122"/>
  <c r="D76" i="116"/>
  <c r="D76" i="125"/>
  <c r="D76" i="106"/>
  <c r="D76" i="121"/>
  <c r="D76" i="124"/>
  <c r="D76" i="123"/>
  <c r="D76" i="122"/>
  <c r="D73" i="106"/>
  <c r="D73" i="121"/>
  <c r="D73" i="125"/>
  <c r="D73" i="122"/>
  <c r="D73" i="124"/>
  <c r="D73" i="123"/>
  <c r="D73" i="116"/>
  <c r="D85" i="125"/>
  <c r="D85" i="121"/>
  <c r="D85" i="106"/>
  <c r="D50" i="122"/>
  <c r="D87" i="123"/>
  <c r="D87" i="124"/>
  <c r="D87" i="121"/>
  <c r="D87" i="106"/>
  <c r="D85" i="123"/>
  <c r="D87" i="125"/>
  <c r="D85" i="124"/>
  <c r="D44" i="123"/>
  <c r="D44" i="122"/>
  <c r="D44" i="116"/>
  <c r="D44" i="121"/>
  <c r="D44" i="124"/>
  <c r="D44" i="125"/>
  <c r="D44" i="106"/>
  <c r="D43" i="124"/>
  <c r="D43" i="123"/>
  <c r="D45" i="123" s="1"/>
  <c r="D43" i="106"/>
  <c r="D43" i="122"/>
  <c r="D43" i="116"/>
  <c r="D43" i="121"/>
  <c r="D43" i="125"/>
  <c r="D45" i="125" s="1"/>
  <c r="K37" i="122"/>
  <c r="D77" i="125"/>
  <c r="D77" i="123"/>
  <c r="D77" i="124"/>
  <c r="D77" i="116"/>
  <c r="D77" i="122"/>
  <c r="D77" i="106"/>
  <c r="D77" i="121"/>
  <c r="D75" i="124"/>
  <c r="D75" i="116"/>
  <c r="D75" i="123"/>
  <c r="D75" i="121"/>
  <c r="D75" i="122"/>
  <c r="D75" i="125"/>
  <c r="D75" i="106"/>
  <c r="D74" i="122"/>
  <c r="D74" i="121"/>
  <c r="D74" i="123"/>
  <c r="D74" i="125"/>
  <c r="D74" i="124"/>
  <c r="D74" i="116"/>
  <c r="D74" i="106"/>
  <c r="D78" i="116"/>
  <c r="D78" i="121"/>
  <c r="D78" i="125"/>
  <c r="D78" i="122"/>
  <c r="D78" i="124"/>
  <c r="D78" i="106"/>
  <c r="D78" i="123"/>
  <c r="D83" i="121"/>
  <c r="D83" i="125"/>
  <c r="D83" i="124"/>
  <c r="D83" i="122"/>
  <c r="D83" i="116"/>
  <c r="D83" i="123"/>
  <c r="D83" i="106"/>
  <c r="H41" i="126" l="1"/>
  <c r="J109" i="125" s="1"/>
  <c r="D89" i="121"/>
  <c r="J62" i="123"/>
  <c r="J68" i="123" s="1"/>
  <c r="J62" i="106"/>
  <c r="J68" i="106" s="1"/>
  <c r="M23" i="121"/>
  <c r="J60" i="121" s="1"/>
  <c r="J25" i="127"/>
  <c r="M17" i="127"/>
  <c r="J26" i="127"/>
  <c r="D89" i="116"/>
  <c r="D89" i="124"/>
  <c r="D79" i="121"/>
  <c r="P26" i="92"/>
  <c r="D79" i="127"/>
  <c r="D89" i="123"/>
  <c r="D89" i="125"/>
  <c r="J62" i="116"/>
  <c r="J68" i="116" s="1"/>
  <c r="J35" i="123"/>
  <c r="J33" i="116"/>
  <c r="J27" i="123"/>
  <c r="J36" i="123"/>
  <c r="J26" i="122"/>
  <c r="J25" i="121"/>
  <c r="J33" i="121"/>
  <c r="D92" i="127"/>
  <c r="D93" i="127" s="1"/>
  <c r="D56" i="106"/>
  <c r="D56" i="122"/>
  <c r="D56" i="124"/>
  <c r="J34" i="127"/>
  <c r="D79" i="122"/>
  <c r="D45" i="116"/>
  <c r="D89" i="122"/>
  <c r="J27" i="124"/>
  <c r="J39" i="106"/>
  <c r="J125" i="106" s="1"/>
  <c r="M17" i="121"/>
  <c r="J59" i="121" s="1"/>
  <c r="J33" i="125"/>
  <c r="J34" i="121"/>
  <c r="J26" i="124"/>
  <c r="J26" i="123"/>
  <c r="J26" i="121"/>
  <c r="M23" i="122"/>
  <c r="J60" i="122" s="1"/>
  <c r="J62" i="122" s="1"/>
  <c r="J68" i="122" s="1"/>
  <c r="J27" i="125"/>
  <c r="J29" i="125" s="1"/>
  <c r="D45" i="106"/>
  <c r="D45" i="124"/>
  <c r="D92" i="124" s="1"/>
  <c r="D93" i="124" s="1"/>
  <c r="D45" i="121"/>
  <c r="D45" i="122"/>
  <c r="D79" i="124"/>
  <c r="D89" i="106"/>
  <c r="D79" i="125"/>
  <c r="D79" i="123"/>
  <c r="D79" i="116"/>
  <c r="J37" i="122"/>
  <c r="J39" i="122" s="1"/>
  <c r="J125" i="122" s="1"/>
  <c r="J35" i="116"/>
  <c r="J36" i="116"/>
  <c r="K39" i="106"/>
  <c r="J78" i="106" s="1"/>
  <c r="D56" i="121"/>
  <c r="D56" i="116"/>
  <c r="J33" i="124"/>
  <c r="J38" i="124" s="1"/>
  <c r="M17" i="124" s="1"/>
  <c r="J59" i="124" s="1"/>
  <c r="J62" i="124" s="1"/>
  <c r="J68" i="124" s="1"/>
  <c r="J34" i="124"/>
  <c r="D56" i="125"/>
  <c r="K37" i="125"/>
  <c r="H12" i="126"/>
  <c r="D79" i="106"/>
  <c r="J109" i="124"/>
  <c r="J109" i="121"/>
  <c r="J109" i="106"/>
  <c r="J109" i="127"/>
  <c r="J109" i="116"/>
  <c r="D56" i="123"/>
  <c r="M22" i="127"/>
  <c r="M23" i="127" s="1"/>
  <c r="J60" i="127" s="1"/>
  <c r="J62" i="127" s="1"/>
  <c r="J68" i="127" s="1"/>
  <c r="J25" i="116"/>
  <c r="J26" i="116"/>
  <c r="H29" i="126"/>
  <c r="J74" i="106" l="1"/>
  <c r="I29" i="125"/>
  <c r="D92" i="123"/>
  <c r="D92" i="122"/>
  <c r="D92" i="106"/>
  <c r="J62" i="121"/>
  <c r="J68" i="121" s="1"/>
  <c r="D92" i="121"/>
  <c r="J37" i="123"/>
  <c r="K39" i="123" s="1"/>
  <c r="J84" i="123" s="1"/>
  <c r="D92" i="125"/>
  <c r="J37" i="121"/>
  <c r="J39" i="121" s="1"/>
  <c r="J125" i="121" s="1"/>
  <c r="K37" i="121"/>
  <c r="K37" i="127"/>
  <c r="J37" i="127"/>
  <c r="D92" i="116"/>
  <c r="D93" i="116" s="1"/>
  <c r="J38" i="125"/>
  <c r="M17" i="125" s="1"/>
  <c r="J59" i="125" s="1"/>
  <c r="J62" i="125" s="1"/>
  <c r="J68" i="125" s="1"/>
  <c r="J108" i="127"/>
  <c r="J111" i="127" s="1"/>
  <c r="J129" i="127" s="1"/>
  <c r="J108" i="106"/>
  <c r="J111" i="106" s="1"/>
  <c r="J129" i="106" s="1"/>
  <c r="J108" i="124"/>
  <c r="J111" i="124" s="1"/>
  <c r="J129" i="124" s="1"/>
  <c r="J108" i="116"/>
  <c r="J111" i="116" s="1"/>
  <c r="J129" i="116" s="1"/>
  <c r="J108" i="121"/>
  <c r="J111" i="121" s="1"/>
  <c r="J129" i="121" s="1"/>
  <c r="J108" i="125"/>
  <c r="J111" i="125" s="1"/>
  <c r="J129" i="125" s="1"/>
  <c r="J108" i="122"/>
  <c r="J108" i="123"/>
  <c r="D93" i="121"/>
  <c r="J37" i="116"/>
  <c r="J39" i="116" s="1"/>
  <c r="J125" i="116" s="1"/>
  <c r="J85" i="106"/>
  <c r="D93" i="122"/>
  <c r="J92" i="106"/>
  <c r="J93" i="106" s="1"/>
  <c r="D93" i="106"/>
  <c r="J109" i="122"/>
  <c r="J109" i="123"/>
  <c r="D93" i="123"/>
  <c r="D93" i="125"/>
  <c r="K37" i="124"/>
  <c r="J35" i="124"/>
  <c r="J36" i="124"/>
  <c r="J51" i="106"/>
  <c r="J55" i="106"/>
  <c r="J54" i="106"/>
  <c r="J87" i="106"/>
  <c r="J50" i="106"/>
  <c r="J44" i="106"/>
  <c r="J52" i="106"/>
  <c r="J49" i="106"/>
  <c r="J76" i="106"/>
  <c r="J43" i="106"/>
  <c r="J45" i="106" s="1"/>
  <c r="J66" i="106" s="1"/>
  <c r="J48" i="106"/>
  <c r="J53" i="106"/>
  <c r="J86" i="106"/>
  <c r="J84" i="106"/>
  <c r="J77" i="106"/>
  <c r="J73" i="106"/>
  <c r="K39" i="122"/>
  <c r="J88" i="106"/>
  <c r="J75" i="106"/>
  <c r="J83" i="106"/>
  <c r="J85" i="123" l="1"/>
  <c r="J86" i="123"/>
  <c r="J50" i="123"/>
  <c r="J92" i="123"/>
  <c r="J93" i="123" s="1"/>
  <c r="K39" i="127"/>
  <c r="J51" i="123"/>
  <c r="J87" i="123"/>
  <c r="J73" i="123"/>
  <c r="J43" i="123"/>
  <c r="J52" i="123"/>
  <c r="J78" i="123"/>
  <c r="J75" i="123"/>
  <c r="J88" i="123"/>
  <c r="J55" i="123"/>
  <c r="J77" i="123"/>
  <c r="J44" i="123"/>
  <c r="J83" i="123"/>
  <c r="J89" i="123" s="1"/>
  <c r="J49" i="123"/>
  <c r="J48" i="123"/>
  <c r="J76" i="123"/>
  <c r="J79" i="123" s="1"/>
  <c r="J127" i="123" s="1"/>
  <c r="J53" i="123"/>
  <c r="J74" i="123"/>
  <c r="J54" i="123"/>
  <c r="J39" i="123"/>
  <c r="J125" i="123" s="1"/>
  <c r="J39" i="125"/>
  <c r="J125" i="125" s="1"/>
  <c r="J75" i="127"/>
  <c r="J76" i="127"/>
  <c r="J84" i="127"/>
  <c r="J73" i="127"/>
  <c r="J44" i="127"/>
  <c r="J52" i="127"/>
  <c r="J83" i="127"/>
  <c r="J87" i="127"/>
  <c r="J88" i="127"/>
  <c r="J51" i="127"/>
  <c r="J54" i="127"/>
  <c r="J85" i="127"/>
  <c r="J48" i="127"/>
  <c r="J43" i="127"/>
  <c r="J45" i="127" s="1"/>
  <c r="J66" i="127" s="1"/>
  <c r="J77" i="127"/>
  <c r="J49" i="127"/>
  <c r="J92" i="127"/>
  <c r="J93" i="127" s="1"/>
  <c r="J55" i="127"/>
  <c r="J78" i="127"/>
  <c r="J86" i="127"/>
  <c r="J53" i="127"/>
  <c r="J50" i="127"/>
  <c r="J74" i="127"/>
  <c r="J39" i="127"/>
  <c r="J125" i="127" s="1"/>
  <c r="K39" i="121"/>
  <c r="K39" i="125"/>
  <c r="J45" i="123"/>
  <c r="J66" i="123" s="1"/>
  <c r="J89" i="106"/>
  <c r="J102" i="106" s="1"/>
  <c r="J104" i="106" s="1"/>
  <c r="J128" i="106" s="1"/>
  <c r="J56" i="106"/>
  <c r="J67" i="106" s="1"/>
  <c r="J50" i="122"/>
  <c r="J86" i="122"/>
  <c r="J52" i="122"/>
  <c r="J48" i="122"/>
  <c r="J53" i="122"/>
  <c r="J43" i="122"/>
  <c r="J83" i="122"/>
  <c r="J49" i="122"/>
  <c r="J87" i="122"/>
  <c r="J85" i="122"/>
  <c r="J55" i="122"/>
  <c r="J73" i="122"/>
  <c r="J77" i="122"/>
  <c r="J88" i="122"/>
  <c r="J54" i="122"/>
  <c r="J75" i="122"/>
  <c r="J84" i="122"/>
  <c r="J76" i="122"/>
  <c r="J51" i="122"/>
  <c r="J44" i="122"/>
  <c r="J78" i="122"/>
  <c r="J74" i="122"/>
  <c r="J79" i="106"/>
  <c r="J127" i="106" s="1"/>
  <c r="J69" i="106"/>
  <c r="J126" i="106" s="1"/>
  <c r="J37" i="124"/>
  <c r="K39" i="124" s="1"/>
  <c r="J92" i="122"/>
  <c r="J93" i="122" s="1"/>
  <c r="K39" i="116"/>
  <c r="J111" i="122"/>
  <c r="J129" i="122" s="1"/>
  <c r="J111" i="123"/>
  <c r="J129" i="123" s="1"/>
  <c r="J102" i="123" l="1"/>
  <c r="J104" i="123" s="1"/>
  <c r="J128" i="123" s="1"/>
  <c r="J56" i="123"/>
  <c r="J67" i="123" s="1"/>
  <c r="J69" i="123" s="1"/>
  <c r="J126" i="123" s="1"/>
  <c r="J130" i="123" s="1"/>
  <c r="J39" i="124"/>
  <c r="J125" i="124" s="1"/>
  <c r="J55" i="121"/>
  <c r="J88" i="121"/>
  <c r="J78" i="121"/>
  <c r="J86" i="121"/>
  <c r="J87" i="121"/>
  <c r="J74" i="121"/>
  <c r="J51" i="121"/>
  <c r="J73" i="121"/>
  <c r="J50" i="121"/>
  <c r="J54" i="121"/>
  <c r="J85" i="121"/>
  <c r="J76" i="121"/>
  <c r="J43" i="121"/>
  <c r="J48" i="121"/>
  <c r="J77" i="121"/>
  <c r="J83" i="121"/>
  <c r="J53" i="121"/>
  <c r="J44" i="121"/>
  <c r="J84" i="121"/>
  <c r="J52" i="121"/>
  <c r="J49" i="121"/>
  <c r="J75" i="121"/>
  <c r="J92" i="121"/>
  <c r="J93" i="121" s="1"/>
  <c r="J53" i="125"/>
  <c r="J55" i="125"/>
  <c r="J73" i="125"/>
  <c r="J49" i="125"/>
  <c r="J50" i="125"/>
  <c r="J88" i="125"/>
  <c r="J87" i="125"/>
  <c r="J74" i="125"/>
  <c r="J85" i="125"/>
  <c r="J78" i="125"/>
  <c r="J77" i="125"/>
  <c r="J84" i="125"/>
  <c r="J76" i="125"/>
  <c r="J51" i="125"/>
  <c r="J52" i="125"/>
  <c r="J43" i="125"/>
  <c r="J48" i="125"/>
  <c r="J83" i="125"/>
  <c r="J44" i="125"/>
  <c r="J86" i="125"/>
  <c r="J75" i="125"/>
  <c r="J54" i="125"/>
  <c r="J92" i="125"/>
  <c r="J93" i="125" s="1"/>
  <c r="J79" i="127"/>
  <c r="J127" i="127" s="1"/>
  <c r="J56" i="127"/>
  <c r="J67" i="127" s="1"/>
  <c r="J69" i="127" s="1"/>
  <c r="J126" i="127" s="1"/>
  <c r="J89" i="127"/>
  <c r="J102" i="127" s="1"/>
  <c r="J104" i="127" s="1"/>
  <c r="J128" i="127" s="1"/>
  <c r="J130" i="106"/>
  <c r="J48" i="124"/>
  <c r="J77" i="124"/>
  <c r="J73" i="124"/>
  <c r="J75" i="124"/>
  <c r="J86" i="124"/>
  <c r="J74" i="124"/>
  <c r="J83" i="124"/>
  <c r="J53" i="124"/>
  <c r="J55" i="124"/>
  <c r="J50" i="124"/>
  <c r="J44" i="124"/>
  <c r="J52" i="124"/>
  <c r="J85" i="124"/>
  <c r="J54" i="124"/>
  <c r="J84" i="124"/>
  <c r="J76" i="124"/>
  <c r="J51" i="124"/>
  <c r="J43" i="124"/>
  <c r="J87" i="124"/>
  <c r="J88" i="124"/>
  <c r="J92" i="124"/>
  <c r="J93" i="124" s="1"/>
  <c r="J78" i="124"/>
  <c r="J49" i="124"/>
  <c r="J89" i="122"/>
  <c r="J102" i="122" s="1"/>
  <c r="J104" i="122" s="1"/>
  <c r="J128" i="122" s="1"/>
  <c r="J52" i="116"/>
  <c r="J49" i="116"/>
  <c r="J85" i="116"/>
  <c r="J73" i="116"/>
  <c r="J77" i="116"/>
  <c r="J74" i="116"/>
  <c r="J51" i="116"/>
  <c r="J50" i="116"/>
  <c r="J86" i="116"/>
  <c r="J76" i="116"/>
  <c r="J75" i="116"/>
  <c r="J78" i="116"/>
  <c r="J83" i="116"/>
  <c r="J53" i="116"/>
  <c r="J54" i="116"/>
  <c r="J44" i="116"/>
  <c r="J43" i="116"/>
  <c r="J87" i="116"/>
  <c r="J84" i="116"/>
  <c r="J88" i="116"/>
  <c r="J55" i="116"/>
  <c r="J48" i="116"/>
  <c r="J92" i="116"/>
  <c r="J93" i="116" s="1"/>
  <c r="J79" i="122"/>
  <c r="J127" i="122" s="1"/>
  <c r="J45" i="122"/>
  <c r="J66" i="122" s="1"/>
  <c r="J56" i="122"/>
  <c r="J67" i="122" s="1"/>
  <c r="J115" i="106" l="1"/>
  <c r="J116" i="106" s="1"/>
  <c r="J118" i="106" s="1"/>
  <c r="J45" i="125"/>
  <c r="J66" i="125" s="1"/>
  <c r="J115" i="123"/>
  <c r="J116" i="123" s="1"/>
  <c r="J120" i="123" s="1"/>
  <c r="J89" i="121"/>
  <c r="J102" i="121" s="1"/>
  <c r="J104" i="121" s="1"/>
  <c r="J128" i="121" s="1"/>
  <c r="J89" i="125"/>
  <c r="J102" i="125" s="1"/>
  <c r="J104" i="125" s="1"/>
  <c r="J128" i="125" s="1"/>
  <c r="J56" i="121"/>
  <c r="J67" i="121" s="1"/>
  <c r="J79" i="121"/>
  <c r="J127" i="121" s="1"/>
  <c r="J130" i="127"/>
  <c r="J56" i="125"/>
  <c r="J67" i="125" s="1"/>
  <c r="J69" i="125" s="1"/>
  <c r="J126" i="125" s="1"/>
  <c r="J79" i="125"/>
  <c r="J127" i="125" s="1"/>
  <c r="J45" i="121"/>
  <c r="J66" i="121" s="1"/>
  <c r="J56" i="116"/>
  <c r="J67" i="116" s="1"/>
  <c r="J69" i="122"/>
  <c r="J126" i="122" s="1"/>
  <c r="J130" i="122" s="1"/>
  <c r="J45" i="116"/>
  <c r="J66" i="116" s="1"/>
  <c r="J89" i="116"/>
  <c r="J102" i="116" s="1"/>
  <c r="J104" i="116" s="1"/>
  <c r="J128" i="116" s="1"/>
  <c r="J45" i="124"/>
  <c r="J66" i="124" s="1"/>
  <c r="J79" i="116"/>
  <c r="J127" i="116" s="1"/>
  <c r="J89" i="124"/>
  <c r="J102" i="124" s="1"/>
  <c r="J104" i="124" s="1"/>
  <c r="J128" i="124" s="1"/>
  <c r="J79" i="124"/>
  <c r="J127" i="124" s="1"/>
  <c r="J56" i="124"/>
  <c r="J67" i="124" s="1"/>
  <c r="J118" i="123" l="1"/>
  <c r="J69" i="116"/>
  <c r="J126" i="116" s="1"/>
  <c r="J119" i="123"/>
  <c r="J115" i="127"/>
  <c r="J120" i="106"/>
  <c r="J130" i="125"/>
  <c r="J119" i="106"/>
  <c r="J69" i="121"/>
  <c r="J126" i="121" s="1"/>
  <c r="J130" i="121" s="1"/>
  <c r="J115" i="122"/>
  <c r="J116" i="122" s="1"/>
  <c r="J120" i="122" s="1"/>
  <c r="J69" i="124"/>
  <c r="J126" i="124" s="1"/>
  <c r="J130" i="124" s="1"/>
  <c r="J130" i="116"/>
  <c r="J121" i="123" l="1"/>
  <c r="J131" i="123" s="1"/>
  <c r="J132" i="123" s="1"/>
  <c r="J134" i="123" s="1"/>
  <c r="D25" i="92" s="1"/>
  <c r="J116" i="127"/>
  <c r="J120" i="127" s="1"/>
  <c r="J115" i="121"/>
  <c r="J115" i="125"/>
  <c r="J116" i="125" s="1"/>
  <c r="J119" i="125" s="1"/>
  <c r="J121" i="106"/>
  <c r="J131" i="106" s="1"/>
  <c r="J132" i="106" s="1"/>
  <c r="J134" i="106" s="1"/>
  <c r="D22" i="92" s="1"/>
  <c r="J118" i="122"/>
  <c r="J119" i="122"/>
  <c r="J115" i="116"/>
  <c r="J116" i="116" s="1"/>
  <c r="J115" i="124"/>
  <c r="J116" i="124" s="1"/>
  <c r="E25" i="92" l="1"/>
  <c r="F25" i="92" s="1"/>
  <c r="J118" i="127"/>
  <c r="J119" i="127"/>
  <c r="J118" i="125"/>
  <c r="D15" i="92"/>
  <c r="J116" i="121"/>
  <c r="J120" i="125"/>
  <c r="E22" i="92"/>
  <c r="F22" i="92" s="1"/>
  <c r="J121" i="122"/>
  <c r="J131" i="122" s="1"/>
  <c r="J132" i="122" s="1"/>
  <c r="J134" i="122" s="1"/>
  <c r="J120" i="124"/>
  <c r="J119" i="116"/>
  <c r="J119" i="124"/>
  <c r="J118" i="124"/>
  <c r="J118" i="116"/>
  <c r="J120" i="116"/>
  <c r="J121" i="127" l="1"/>
  <c r="J131" i="127" s="1"/>
  <c r="J134" i="127" s="1"/>
  <c r="D18" i="92" s="1"/>
  <c r="J121" i="125"/>
  <c r="J131" i="125" s="1"/>
  <c r="J132" i="125" s="1"/>
  <c r="J134" i="125" s="1"/>
  <c r="D20" i="92" s="1"/>
  <c r="J118" i="121"/>
  <c r="I121" i="121"/>
  <c r="I134" i="121" s="1"/>
  <c r="J119" i="121"/>
  <c r="D17" i="92"/>
  <c r="E17" i="92" s="1"/>
  <c r="F17" i="92" s="1"/>
  <c r="J120" i="121"/>
  <c r="E15" i="92"/>
  <c r="F15" i="92" s="1"/>
  <c r="D24" i="92"/>
  <c r="J121" i="124"/>
  <c r="J131" i="124" s="1"/>
  <c r="J132" i="124" s="1"/>
  <c r="J134" i="124" s="1"/>
  <c r="D21" i="92" s="1"/>
  <c r="J121" i="116"/>
  <c r="J131" i="116" s="1"/>
  <c r="J132" i="116" s="1"/>
  <c r="J134" i="116" s="1"/>
  <c r="E18" i="92" l="1"/>
  <c r="F18" i="92" s="1"/>
  <c r="E20" i="92"/>
  <c r="F20" i="92" s="1"/>
  <c r="J121" i="121"/>
  <c r="J131" i="121" s="1"/>
  <c r="J132" i="121" s="1"/>
  <c r="J134" i="121" s="1"/>
  <c r="D14" i="92" s="1"/>
  <c r="D16" i="92"/>
  <c r="E21" i="92"/>
  <c r="F21" i="92" s="1"/>
  <c r="E24" i="92"/>
  <c r="F24" i="92" s="1"/>
  <c r="D23" i="92"/>
  <c r="E14" i="92" l="1"/>
  <c r="F14" i="92" s="1"/>
  <c r="E16" i="92"/>
  <c r="F16" i="92" s="1"/>
  <c r="E23" i="92"/>
  <c r="F23" i="92" s="1"/>
  <c r="F27" i="92" l="1"/>
  <c r="E27" i="92"/>
  <c r="E30" i="92" l="1"/>
  <c r="E32" i="92" s="1"/>
</calcChain>
</file>

<file path=xl/sharedStrings.xml><?xml version="1.0" encoding="utf-8"?>
<sst xmlns="http://schemas.openxmlformats.org/spreadsheetml/2006/main" count="3141" uniqueCount="322">
  <si>
    <t>A</t>
  </si>
  <si>
    <t>B</t>
  </si>
  <si>
    <t>C</t>
  </si>
  <si>
    <t>D</t>
  </si>
  <si>
    <t>E</t>
  </si>
  <si>
    <t>F</t>
  </si>
  <si>
    <t>G</t>
  </si>
  <si>
    <t>Tipo de serviço (mesmo serviço com características distintas)</t>
  </si>
  <si>
    <t>Categoria profissional (vinculada à execução contratual)</t>
  </si>
  <si>
    <t>Data base da categoria (dia/mês/ano)</t>
  </si>
  <si>
    <t>H</t>
  </si>
  <si>
    <t>%</t>
  </si>
  <si>
    <t>Lucro</t>
  </si>
  <si>
    <t>PIS</t>
  </si>
  <si>
    <t>COFINS</t>
  </si>
  <si>
    <t>13º Salário</t>
  </si>
  <si>
    <t>INSS</t>
  </si>
  <si>
    <t>INCRA</t>
  </si>
  <si>
    <t>Salário Educação</t>
  </si>
  <si>
    <t>FGTS</t>
  </si>
  <si>
    <t>SEBRAE</t>
  </si>
  <si>
    <t>Identificação do Serviço</t>
  </si>
  <si>
    <t>Tipo de Serviço</t>
  </si>
  <si>
    <t>Unidade de Medida</t>
  </si>
  <si>
    <t>Salário Base</t>
  </si>
  <si>
    <t>Benefícios Mensais e Diários</t>
  </si>
  <si>
    <t>4.1</t>
  </si>
  <si>
    <t>4.2</t>
  </si>
  <si>
    <t>Afastamento maternidade</t>
  </si>
  <si>
    <t>Ausência por Acidente de trabalho</t>
  </si>
  <si>
    <t>ISS</t>
  </si>
  <si>
    <t>Nº Vale Transporte por dia</t>
  </si>
  <si>
    <t>Valor Tarifa</t>
  </si>
  <si>
    <t>Desconto</t>
  </si>
  <si>
    <t>Nº de Dias VT</t>
  </si>
  <si>
    <t>Valor por empregado</t>
  </si>
  <si>
    <t>Valor Vale Alimentação</t>
  </si>
  <si>
    <t>Quantidade de Dias VA</t>
  </si>
  <si>
    <t>Total Vale Alimentação</t>
  </si>
  <si>
    <t>Valor Participação Empregado</t>
  </si>
  <si>
    <t>As relações empregado/empregador, concernentes ao controle de frequência, disciplina, folha de pagamento e demais obrigações de Lei serão sempre de inteira e exclusiva responsabilidade desta empresa.</t>
  </si>
  <si>
    <t>Procurador</t>
  </si>
  <si>
    <t>Item</t>
  </si>
  <si>
    <t>Descrição</t>
  </si>
  <si>
    <t>Valor Unitário</t>
  </si>
  <si>
    <t>Valor Mensal</t>
  </si>
  <si>
    <t>CONDIÇÕES GERAIS:</t>
  </si>
  <si>
    <t>PREÇO DO SERVIÇO:</t>
  </si>
  <si>
    <t xml:space="preserve">OBJETO: </t>
  </si>
  <si>
    <t>Férias e Adicional de Férias</t>
  </si>
  <si>
    <t>Reflexo sobre o D.S.R</t>
  </si>
  <si>
    <t>Caso nos seja adjudicado o objeto da licitação, comprometemo-nos a assinar o contrato no prazo determinado no Edital, e para esse fim fornecemos os seguintes dados:</t>
  </si>
  <si>
    <t>DADOS DO REPRESENTANTE LEGAL DA EMPRESA PARA ASSINATURA DO CONTRATO:</t>
  </si>
  <si>
    <t>Valor 12 Meses</t>
  </si>
  <si>
    <t xml:space="preserve">VALOR TOTAL 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</si>
  <si>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</si>
  <si>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</si>
  <si>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</si>
  <si>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</si>
  <si>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</si>
  <si>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12 meses</t>
  </si>
  <si>
    <t>Quantidade total a contratar
(em função da unidade de medida)</t>
  </si>
  <si>
    <t>Dados para composição dos custos referentes à mão de 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</si>
  <si>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</si>
  <si>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</si>
  <si>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</si>
  <si>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</si>
  <si>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</si>
  <si>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>MÓDULO 2 – ENCARGOS E BENEFÍCIOS ANUAIS, MENSAIS E DIÁRIOS</t>
  </si>
  <si>
    <t>Submódulo 2.1 - 13º Salário, Férias e Adicional de Férias</t>
  </si>
  <si>
    <t>13 (Décimo-terceiro) salário</t>
  </si>
  <si>
    <t>Submódulo 2.2 - GPS, FGTS e Outras Contribuições</t>
  </si>
  <si>
    <t>SAT (Seguro Acidente de Trabalho)</t>
  </si>
  <si>
    <t>SESC ou SESI</t>
  </si>
  <si>
    <t>SENAI - SENAC</t>
  </si>
  <si>
    <t>Submódulo 2.3 - Benefícios Mensais e Diários</t>
  </si>
  <si>
    <t>-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</si>
  <si>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</si>
  <si>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</si>
  <si>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</si>
  <si>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</si>
  <si>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</si>
  <si>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</si>
  <si>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</si>
  <si>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MÓDULO 3 – PROVISÃO PARA RESCISÃO</t>
  </si>
  <si>
    <t>PROVISÃO PARA RESCISÃO</t>
  </si>
  <si>
    <t>Aviso Prévio Indenizado</t>
  </si>
  <si>
    <t>Incidência do FGTS sobre Aviso Prévio Indenizado</t>
  </si>
  <si>
    <t>Multa do FGTS e Contribuição Social sobre o Aviso Prévio Indenizado</t>
  </si>
  <si>
    <t>Aviso Prévio Trabalhado</t>
  </si>
  <si>
    <t>Incidência dos encargos do submódulo 2.2 sobre Aviso Prévio Trabalhado</t>
  </si>
  <si>
    <t>Multa do FGTS e Contribuição Social sobre o Aviso Prévio Trabalhado.</t>
  </si>
  <si>
    <t>MÓDULO 4 – CUSTO DE REPOSIÇÃO DO PROFISSIONAL AUSENTE</t>
  </si>
  <si>
    <t>Submódulo 4.1 - Ausências Legais</t>
  </si>
  <si>
    <t>Férias</t>
  </si>
  <si>
    <t>Ausências Legais</t>
  </si>
  <si>
    <t>Licença Paternidade</t>
  </si>
  <si>
    <t>Ausência por Acidente de Trabalho</t>
  </si>
  <si>
    <t>Afastamento Maternidade</t>
  </si>
  <si>
    <t>QUADRO-RESUMO DO MÓDULO 4 - CUSTO DE REPOSIÇÃO DO PROFISSIONAL AUSENTE</t>
  </si>
  <si>
    <t>Módulo 4 - Custo de Reposição do Profissional Ausente</t>
  </si>
  <si>
    <t>Intrajornada</t>
  </si>
  <si>
    <t>TOTAL DO MÓDULO 4</t>
  </si>
  <si>
    <t>MÓDULO 5 – INSUMOS DIVERSOS</t>
  </si>
  <si>
    <t>INSUMOS DIVERSOS</t>
  </si>
  <si>
    <t>MÓDULO 6 – CUSTOS INDIRETOS, TRIBUTOS E LUCRO</t>
  </si>
  <si>
    <t>CUSTOS INDIRETOS, TRIBUTOS E LUCRO</t>
  </si>
  <si>
    <t>C.1</t>
  </si>
  <si>
    <t>C.2</t>
  </si>
  <si>
    <t>C.3</t>
  </si>
  <si>
    <t>QUADRO RESUMO DO CUSTO POR EMPREGADO</t>
  </si>
  <si>
    <t>Mão de Obra vinculada à execução contratual (valor por empregado)</t>
  </si>
  <si>
    <t>Subtotal (A + B + C + D + E)</t>
  </si>
  <si>
    <t>PREÇO TOTAL POR EMPREGADO</t>
  </si>
  <si>
    <t>MEMÓRIA DE CÁLCULO / JUSTIFICATIVA VALORES APRESENTADOS</t>
  </si>
  <si>
    <t>Definidos por legislação (fixos)</t>
  </si>
  <si>
    <t>CÁLCULO:</t>
  </si>
  <si>
    <t>Apenas Incidências</t>
  </si>
  <si>
    <t>DADOS:</t>
  </si>
  <si>
    <t>11,11% = 0,1111 (custo sobre os salários das férias integrais (12/12) dos trabalhadores)</t>
  </si>
  <si>
    <t>4 meses no ano = 4/12 = 0,3333 (período em um ano a que se referem as férias proporcionais ora calculadas)</t>
  </si>
  <si>
    <t>Incidência do FGTS sobre aviso prévio Indenizado</t>
  </si>
  <si>
    <t>Multa do FGTS sobre o Aviso Prévio Indenizado</t>
  </si>
  <si>
    <t>Redução de 7 dias ou de 2h por dia</t>
  </si>
  <si>
    <t>Incidência do Submódulo 4.1 sobre Aviso Prévio Trabalhado</t>
  </si>
  <si>
    <t>Multa do FGTS sobre o Aviso Prévio Trabalhado</t>
  </si>
  <si>
    <t>Estatísticas da empresa: porcentagem dos funcionários que tornam-se pais em um ano</t>
  </si>
  <si>
    <t>Fórmula:</t>
  </si>
  <si>
    <t xml:space="preserve">= {[ (5 ÷ 30) ÷ 12 ] x % dos empregados que tornam-se pais em um ano ÷ 100} x 100 </t>
  </si>
  <si>
    <t>Uniformes / EPI'S / EPC'S</t>
  </si>
  <si>
    <t>Declaramos total concordância ao Edital e seus anexos.</t>
  </si>
  <si>
    <t>PROPOSTA COMERCIAL</t>
  </si>
  <si>
    <t>Estatística da Empresa 5,00% dos empregados são substituídos durante o ano (turnover da empresa)</t>
  </si>
  <si>
    <t>= { [ 0,05 x (1 ÷ 12) ] x 100 } =</t>
  </si>
  <si>
    <t>= { [ 0,05 x 0,083333 ] x 100 } =</t>
  </si>
  <si>
    <t>= { 0,0042 x 100 } =</t>
  </si>
  <si>
    <t>= 0,42%</t>
  </si>
  <si>
    <t>= { [ 0,42% x 8,00% ] } =</t>
  </si>
  <si>
    <t>= 0,03%</t>
  </si>
  <si>
    <t>Auxílio Doença</t>
  </si>
  <si>
    <t>QUANTIDADE DE EMPREGADOS POR POSTO</t>
  </si>
  <si>
    <t>PREÇO TOTAL POR POSTO</t>
  </si>
  <si>
    <t>Submódulo 4.2 - Intrajornada*</t>
  </si>
  <si>
    <t>Nota: (*) Verba de natureza indenizatória isenta de encargos sociais e trabalhistas, conforme Art. 71, §4º da Lei nº 13.467/2017 e Art. 214, §9º, "m" do Decreto nº 3.048/99.</t>
  </si>
  <si>
    <t>Quantidade de Postos</t>
  </si>
  <si>
    <t>Vigilante Armado</t>
  </si>
  <si>
    <t>Vigilância</t>
  </si>
  <si>
    <t>CNPJ: 10.364.152/0002-08</t>
  </si>
  <si>
    <t xml:space="preserve">DADOS DA EMPRESA: </t>
  </si>
  <si>
    <t>Lince Segurança Patrimonial Ltda.</t>
  </si>
  <si>
    <t>Cerca de 8% do pessoal é demitido nessa situação.</t>
  </si>
  <si>
    <t>= { [ ( 7 ÷ 30 ) ÷ 12 ] x 0,08 x 100 } =</t>
  </si>
  <si>
    <t>= { [ 0,2333 ÷ 12] x 0,08 x 100 } =</t>
  </si>
  <si>
    <t>= { 0,0016 x 100 } =</t>
  </si>
  <si>
    <t>= 0,16%</t>
  </si>
  <si>
    <t>Incidência do Submódulo 2.2 sobre o Submódulo 2.1 e 4.1</t>
  </si>
  <si>
    <t xml:space="preserve">TOTAL </t>
  </si>
  <si>
    <t>TOTAL</t>
  </si>
  <si>
    <t>2,00% = 0,02 (percentual estatístico adotado como de empregadas que se afastam por licença maternidade)</t>
  </si>
  <si>
    <t>= [ ( 0,1111 x 0,02 x 0,3333 ) x 100 ] =</t>
  </si>
  <si>
    <t>= [ 0,0007 x 100 ] =</t>
  </si>
  <si>
    <t>= 0,07%</t>
  </si>
  <si>
    <t>12,00% dos funcionários tornam-se pais em um ano, o cálculo será:</t>
  </si>
  <si>
    <t>= {[ (5 ÷ 30) ÷ 12 ] x 0,12 } x 100 =</t>
  </si>
  <si>
    <t>= { [ 0,1666 ÷ 12 ] x 0,12 } x 100 =</t>
  </si>
  <si>
    <t>= { 0,013889 x 0,12 } x 100 =</t>
  </si>
  <si>
    <t>= 0,0017 x 100 =</t>
  </si>
  <si>
    <t>=0,17%</t>
  </si>
  <si>
    <t>= [ ( 1 ÷ 11) ÷ 12 x 100 ] =</t>
  </si>
  <si>
    <t>= [ 0,0101 x 100 ] =</t>
  </si>
  <si>
    <t>= 1,01%</t>
  </si>
  <si>
    <t>Parâmetro: em média 2,00 ausência no ano</t>
  </si>
  <si>
    <t>Estatísticas: 5 faltas em 1 ano</t>
  </si>
  <si>
    <t>{ [ ( 5 ÷ 30 ) ÷ 12 ] X 100 } =</t>
  </si>
  <si>
    <t>= { [ 0,16 ÷ 12 ] X 100 } =</t>
  </si>
  <si>
    <t>= { 0,0139 X 100 } =</t>
  </si>
  <si>
    <t>= 1,39%</t>
  </si>
  <si>
    <t>= { [ (2 ÷ 30) ÷ 12 ] x 100 } =</t>
  </si>
  <si>
    <t>= { [ 0,06 ÷ 12 ] x 100 } =</t>
  </si>
  <si>
    <t>= { 0,0056 x 100 } =</t>
  </si>
  <si>
    <t>= 0,56%</t>
  </si>
  <si>
    <t>Estatística: 5,00% sofrem acidente durante o ano</t>
  </si>
  <si>
    <t>= { [ ( 15 ÷ 30 ) ÷ 12 ] x 0,05 } x 100 =</t>
  </si>
  <si>
    <t>= { [ 0,5 ÷ 12 ] x 0,05 } x 100 =</t>
  </si>
  <si>
    <t>= { 0,0416 x 0,05 } x 100 =</t>
  </si>
  <si>
    <t>= 0,0021 x 100 =</t>
  </si>
  <si>
    <t>= 0,21%</t>
  </si>
  <si>
    <t>Motocicleta</t>
  </si>
  <si>
    <t>RESPONSÁVEL PARA CONTATO: Willian Lopes de Aguiar</t>
  </si>
  <si>
    <t xml:space="preserve"> 12x36 hrs diurno todos os dias da semana, inclusive sábados domingos e feriados, das 07:00hs às 19:00hs </t>
  </si>
  <si>
    <t>Materiais e Equipamentos</t>
  </si>
  <si>
    <t xml:space="preserve"> 12x36 hrs noturno todos os dias da semana, inclusive sábados domingos e feriados, das 19:00hs às 07:00hs </t>
  </si>
  <si>
    <t>FUNDAÇÃO UNIVERSIDADE FEDERAL DE CIÊNCIAS DA SAÚDE DE PORTO ALEGRE</t>
  </si>
  <si>
    <t>PREGÃO ELETRÔNICO Nº 12/2018</t>
  </si>
  <si>
    <t>Processo Administrativo n.º 23103.002996/2018-72</t>
  </si>
  <si>
    <t xml:space="preserve"> </t>
  </si>
  <si>
    <t>HORA: 10:00h</t>
  </si>
  <si>
    <r>
      <t>RAZÃO SOCIAL:</t>
    </r>
    <r>
      <rPr>
        <sz val="10"/>
        <rFont val="Trebuchet MS"/>
        <family val="2"/>
      </rPr>
      <t xml:space="preserve"> Lince Segurança Patrimonial Ltda.</t>
    </r>
  </si>
  <si>
    <r>
      <t>CNPJ:</t>
    </r>
    <r>
      <rPr>
        <sz val="10"/>
        <rFont val="Trebuchet MS"/>
        <family val="2"/>
      </rPr>
      <t xml:space="preserve"> 10.364.152/0002-08</t>
    </r>
  </si>
  <si>
    <r>
      <t>ENDEREÇO:</t>
    </r>
    <r>
      <rPr>
        <sz val="10"/>
        <rFont val="Trebuchet MS"/>
        <family val="2"/>
      </rPr>
      <t xml:space="preserve">  Av. São Paulo, 1049, São Geraldo, Porto Alegre/RS</t>
    </r>
  </si>
  <si>
    <r>
      <t xml:space="preserve">FONE/FAX: </t>
    </r>
    <r>
      <rPr>
        <sz val="10"/>
        <rFont val="Trebuchet MS"/>
        <family val="2"/>
      </rPr>
      <t>(48) 3733-3101</t>
    </r>
  </si>
  <si>
    <r>
      <t xml:space="preserve">E-MAIL: </t>
    </r>
    <r>
      <rPr>
        <sz val="10"/>
        <rFont val="Trebuchet MS"/>
        <family val="2"/>
      </rPr>
      <t>licitacoes@linceseg.com.br</t>
    </r>
  </si>
  <si>
    <r>
      <t xml:space="preserve">AGENCIA E Nº. DA CONTA NO BANCO BRADESCO:  </t>
    </r>
    <r>
      <rPr>
        <sz val="10"/>
        <rFont val="Trebuchet MS"/>
        <family val="2"/>
      </rPr>
      <t>AG. 2937-8    C/C: 7979-0</t>
    </r>
  </si>
  <si>
    <r>
      <t xml:space="preserve">NOME: </t>
    </r>
    <r>
      <rPr>
        <sz val="10"/>
        <rFont val="Trebuchet MS"/>
        <family val="2"/>
      </rPr>
      <t>Willian Lopes de Aguiar</t>
    </r>
  </si>
  <si>
    <r>
      <t xml:space="preserve">RG: </t>
    </r>
    <r>
      <rPr>
        <sz val="10"/>
        <rFont val="Trebuchet MS"/>
        <family val="2"/>
      </rPr>
      <t xml:space="preserve">3.975.588          </t>
    </r>
    <r>
      <rPr>
        <b/>
        <sz val="10"/>
        <rFont val="Trebuchet MS"/>
        <family val="2"/>
      </rPr>
      <t xml:space="preserve">            ORGÃO EXPEDIDOR: </t>
    </r>
    <r>
      <rPr>
        <sz val="10"/>
        <rFont val="Trebuchet MS"/>
        <family val="2"/>
      </rPr>
      <t>SSP/SC</t>
    </r>
  </si>
  <si>
    <r>
      <t xml:space="preserve">CPF: </t>
    </r>
    <r>
      <rPr>
        <sz val="10"/>
        <rFont val="Trebuchet MS"/>
        <family val="2"/>
      </rPr>
      <t>028.383.199-57</t>
    </r>
  </si>
  <si>
    <r>
      <t xml:space="preserve">NATURALIDADE: </t>
    </r>
    <r>
      <rPr>
        <sz val="10"/>
        <rFont val="Trebuchet MS"/>
        <family val="2"/>
      </rPr>
      <t>SÃO PAULO</t>
    </r>
  </si>
  <si>
    <r>
      <t xml:space="preserve">NACIONALIDADE: </t>
    </r>
    <r>
      <rPr>
        <sz val="10"/>
        <rFont val="Trebuchet MS"/>
        <family val="2"/>
      </rPr>
      <t>BRASILEIRA</t>
    </r>
  </si>
  <si>
    <r>
      <rPr>
        <b/>
        <sz val="10"/>
        <rFont val="Trebuchet MS"/>
        <family val="2"/>
      </rPr>
      <t xml:space="preserve">CARGO/FUNÇÃO: </t>
    </r>
    <r>
      <rPr>
        <sz val="10"/>
        <rFont val="Trebuchet MS"/>
        <family val="2"/>
      </rPr>
      <t>GERENTE COMERCIAL</t>
    </r>
  </si>
  <si>
    <r>
      <t>ENDEREÇO:</t>
    </r>
    <r>
      <rPr>
        <sz val="10"/>
        <rFont val="Trebuchet MS"/>
        <family val="2"/>
      </rPr>
      <t xml:space="preserve"> Rua Antonio Mariano de Souza, 756 - Bairro Ipiranga - São José/SC - CEP: 88.111-510</t>
    </r>
  </si>
  <si>
    <r>
      <t>E-MAIL:</t>
    </r>
    <r>
      <rPr>
        <sz val="10"/>
        <rFont val="Trebuchet MS"/>
        <family val="2"/>
      </rPr>
      <t xml:space="preserve"> licitacoes@linceseg.com.br</t>
    </r>
  </si>
  <si>
    <t>44 horas diurno</t>
  </si>
  <si>
    <t xml:space="preserve">RS000817/2018 </t>
  </si>
  <si>
    <t>Porto Alegre/RS</t>
  </si>
  <si>
    <t>Operador CFTV</t>
  </si>
  <si>
    <t>6 horas noturno</t>
  </si>
  <si>
    <t>Outros</t>
  </si>
  <si>
    <t>Folguista</t>
  </si>
  <si>
    <t>6 horas diurno</t>
  </si>
  <si>
    <t>&lt;&lt;&lt; Ativação Futura</t>
  </si>
  <si>
    <t>Gratificação Função</t>
  </si>
  <si>
    <t>Salário Base 172,50 horas mensais</t>
  </si>
  <si>
    <t>O objeto da presente licitação é a escolha da proposta mais vantajosa para a Contratação de pessoa jurídica especializada na prestação de serviços de vigilância e segurança patrimonial armada e desarmada, que comprove sua qualificação, a serem executados de forma contínua, consoante este termo de referência, edital, contrato e anexos.</t>
  </si>
  <si>
    <t>Declaramos que o Sindicato Representativo da Categoria: SIND DAS EMPR DE SEGURANCA E VIGILANCIA DO EST DO R G S, CNPJ n. 87.004.982/0001-78 e SIND DOS EMPREG DE EMPR DE SEG EVIGIL DO EST DO RGS, CNPJ n. 91.343.293/0001-65, vigência de 01º de fevereiro de 2018 a 31 de janeiro de 2020 e a data-base da categoria em 01º de fevereiro. Registrada no MTE sob o nº RS000817/2018.</t>
  </si>
  <si>
    <t>Declaramos  que nos valores propostos estarão inclusos todos os custos operacionais, encargos previdenciários, trabalhistas, tributários, comerciais e quaisquer outros que incidam direta ou indiretamente na prestação dos serviços, apurados mediante o preenchimento do modelo de Planilha de Custos e Formação de Preços, conforme anexo IV deste Edital.</t>
  </si>
  <si>
    <t>44 (quarenta e quatro) horas semanais diurnas, de segunda a sábado envolvendo 1 (um) vigilante (supervisor) DESARMADA</t>
  </si>
  <si>
    <t>12 horas diurnas, de segunda-feira a domingo, envolvendo 2 (dois) vigilantes em turnos de 12 (doze) x 36 (trinta e seis) horas DESARMADA</t>
  </si>
  <si>
    <t>12 horas noturnas, de segunda-feira a domingo, envolvendo 2 (dois) vigilantes em turnos de 12 (doze) x 36 (trinta e seis) horas DESARMADA</t>
  </si>
  <si>
    <t>12 horas diurnas, de segunda-feira a sábado, envolvendo 2 (dois) vigilantes em turnos de 12 (doze) x 36 (trinta e seis) horas DESARMADA</t>
  </si>
  <si>
    <t>6 horas diurnas initerruptas de Operador de circuito interno de TV diurno de segunda-feira a domingo, inclusive feriados. DESARMADA</t>
  </si>
  <si>
    <t>6 horas noturnas initerruptas de Operador de circuito interno de TV noturno de segunda-feira a domingo, inclusive feriados. DESARMADA</t>
  </si>
  <si>
    <t>Declaramos que O prazo de validade da proposta é de sessenta (60) dias, a contar da data de sua apresentação.</t>
  </si>
  <si>
    <t>São José/SC, 03 de julho de 2018.</t>
  </si>
  <si>
    <t>12 horas diurnas, de segunda-feira a domingo, envolvendo 2 (dois) vigilantes em turnos de 12 (doze) x 36 (trinta e seis) horas DESARMADA - ATIVAÇÃO FUTURA</t>
  </si>
  <si>
    <t>12 horas noturnas, de segunda-feira a domingo, envolvendo 2 (dois) vigilantes em turnos de 12 (doze) x 36 (trinta e seis) horas DESARMADA - ATIVAÇÃO FUTURA</t>
  </si>
  <si>
    <t>12 horas diurnas, de segunda-feira a domingo, envolvendo 2 (dois) vigilantes em turnos de 12 (doze) x 36 (trinta e seis) horas ARMADA - ATIVAÇÃO FUTURA</t>
  </si>
  <si>
    <t>12 horas noturnas, de segunda-feira a domingo, envolvendo 2 (dois) vigilantes em turnos de 12 (doze) x 36 (trinta e seis) horas ARMADA - ATIVAÇÃO FUTURA</t>
  </si>
  <si>
    <t>12  2018</t>
  </si>
  <si>
    <t>23103.002996/2018-72</t>
  </si>
  <si>
    <t>ANEXO IV - PLANILHA DE CUSTOS E FORMAÇÃO DE PREÇOS</t>
  </si>
  <si>
    <t>Número do Processo:</t>
  </si>
  <si>
    <t>Número da Licitação:</t>
  </si>
  <si>
    <t>Razão Social: Lince Segurança Patrimonial Ltda. CNPJ 10.364.152/0002-08</t>
  </si>
  <si>
    <t>Objeto: Prestação de serviços de Vigilância e Segurança Armada e Desarmada</t>
  </si>
  <si>
    <t>5173-30</t>
  </si>
  <si>
    <t>Vigilante</t>
  </si>
  <si>
    <t>Valor da hora sem periculosidade = (Valor do salário normativo / 220 h)</t>
  </si>
  <si>
    <t>Valor da hora extra sem periculosidade com 50% = valor da hora + 50%</t>
  </si>
  <si>
    <t>Valor do adicional noturno sem periculosidade = valor da hora x 20%</t>
  </si>
  <si>
    <t>Adicional de troca de uniforme</t>
  </si>
  <si>
    <t>Quantidade de vigilantes por posto de serviço</t>
  </si>
  <si>
    <t>Intervalo para repouso ou alimentação</t>
  </si>
  <si>
    <t>INSS (Conforme Art. 22, Inciso I, da Lei nº 8.212/91)</t>
  </si>
  <si>
    <t>SESI ou SESC (conforme Art. 30, Lei nº 8.036/90 e Art. 3º do Decreto-Lei nº 9.853/1946)</t>
  </si>
  <si>
    <t>SENAI ou SENAC (Conforme Decreto nº 2.318/86)</t>
  </si>
  <si>
    <t>INCRA (Conforme Lei n.º 7.787/89 e DL nº 1.146/70)</t>
  </si>
  <si>
    <t>Salário Educação (Conforme Art. 3º, Inciso I, Decreto n.º 87.043/82)</t>
  </si>
  <si>
    <t>FGTS (Conforme Art. 15, Lei nº 8.030/90 e Art. 7º, III, CF)</t>
  </si>
  <si>
    <t>Seguro acidente do trabalho (Conforme Art. 22, II, “a”, “b” e “c”, da Lei nº 8.212/94 e Lei Complementar nº 123/2006): [ (RAT: 3,00%) x (FAP: 1,36, conforme GFIP) ]</t>
  </si>
  <si>
    <t>SEBRAE (Conforme Art. 8º, Lei n.º 8.029/90 e Lei n.º 8.154/90 )</t>
  </si>
  <si>
    <t>QUADRO DEMONSTRATIVO DO VALOR GLOBAL DA PROPOSTA</t>
  </si>
  <si>
    <t>Valor mensal do serviço da equipe residente</t>
  </si>
  <si>
    <t>Número de meses do contrato</t>
  </si>
  <si>
    <t>Valor global da proposta (valor mensal do serviço x nº de meses do contrato)</t>
  </si>
  <si>
    <t>Uniformes - Estimativa para 12 Meses</t>
  </si>
  <si>
    <t>Quantidade de Empregados</t>
  </si>
  <si>
    <t>Quantidade 12 Meses</t>
  </si>
  <si>
    <t>Valor Unitário (R$)</t>
  </si>
  <si>
    <t>Valor 12 Meses (R$)</t>
  </si>
  <si>
    <t>Valor Mensal (R$)</t>
  </si>
  <si>
    <t>Calça</t>
  </si>
  <si>
    <t>Camisa de Mangas Compridas e Curtas</t>
  </si>
  <si>
    <t>Cinto de Nylon</t>
  </si>
  <si>
    <t>Sapatos</t>
  </si>
  <si>
    <t>Meias</t>
  </si>
  <si>
    <t>Quepe com Emblema</t>
  </si>
  <si>
    <t>Jaqueta de Frio ou Japona*</t>
  </si>
  <si>
    <t>Capa de Chuva</t>
  </si>
  <si>
    <t>Crachá</t>
  </si>
  <si>
    <t>OBS: * Durabilidade 02 anos</t>
  </si>
  <si>
    <t>Quantidade 60 Meses</t>
  </si>
  <si>
    <t>Valor 60 Meses (R$)</t>
  </si>
  <si>
    <t>Revólver calibre 38</t>
  </si>
  <si>
    <t>Cinto com coldre e baleiro</t>
  </si>
  <si>
    <t>Colete a prova de balas</t>
  </si>
  <si>
    <t>Livro de ocorrência</t>
  </si>
  <si>
    <t>Lanterna</t>
  </si>
  <si>
    <t>Pilha para lanterna</t>
  </si>
  <si>
    <t>Radio de comunicação</t>
  </si>
  <si>
    <t>prancheta</t>
  </si>
  <si>
    <t>caneta azul/preta</t>
  </si>
  <si>
    <t>Grampeador, grampos, clips e demais materiais de expedientes
necessários.</t>
  </si>
  <si>
    <t>Carregado Speed Loader</t>
  </si>
  <si>
    <t>Porta-carregador</t>
  </si>
  <si>
    <t>OBS: Equipamentos para atender 01 posto</t>
  </si>
  <si>
    <t>Equipamentos - Estimativa para 60 Meses - Posto Desarmado</t>
  </si>
  <si>
    <t>Equipamentos - Estimativa para 60 Meses - Posto Armado</t>
  </si>
  <si>
    <t>Custos Indiretos (Administração Central, Risco, Garantia e Despesas Financeiras)</t>
  </si>
  <si>
    <t>Tributos (Lucro Real)</t>
  </si>
  <si>
    <t>Adicional de periculosidade: [ (Salário Base) x (30% de Adicional Legal) ]</t>
  </si>
  <si>
    <t>Troca de Uniforme: [ ( (Salário Base) / Qtde horas laboradas) / 1/6 do Valor da Hora Normal x Qtde Dias Trabalhados no Mês] Não Há incidência de Encargos Sociais e Trabalhistas</t>
  </si>
  <si>
    <t>Adicional Noturno: [ ( (Salário Base + Periculosidade) / Qtde de horas mês) x  (07 Horas Noturnas) x  (Qtde Dias Trabalhados no Mês) x 20% de Adicional Legal) ]</t>
  </si>
  <si>
    <t>Hora Noturna Reduzida: [ ( (Salário Base + Periculosidade) / Qtde de  horas mensais) x  (Qtde Horas Noturnas x Qtde Dias Trabalhados no Mês / 52,5 minutos x 7,5 minutos ) + 50% de Adicional Legal + 20% Adicional Noturno) ]</t>
  </si>
  <si>
    <t>Adicional Noturno: [ ( (Salário Base + Periculosidade) / Qtde de horas mês) x  (07 Horas Noturnas) x  (Qtde Dias Trabalhados no Mês) x 20% de Adicional Legal) ] / 02 Colaboradores que formam o posto</t>
  </si>
  <si>
    <t>Hora Noturna Reduzida: [ ( (Salário Base + Periculosidade) / Qtde de  horas mensais) x  (Qtde Horas Noturnas x Qtde Dias Trabalhados no Mês / 52,5 minutos x 7,5 minutos ) + 50% de Adicional Legal + 20% Adicional Noturno) ] / 02 colaboradores que formam o posto</t>
  </si>
  <si>
    <t>Rafael Furquim de Souza - CPF 34104872806 e RG 40151297-6 SSP / SP</t>
  </si>
  <si>
    <t>= [ ( 1 ÷ 12 ) x 100 ] =</t>
  </si>
  <si>
    <t>= [ 0,08333x 100 ]  =</t>
  </si>
  <si>
    <t>=8,33%</t>
  </si>
  <si>
    <t>Seguro de vida, invalidez e funeral: [ (Valo por Empregado R$ 2,5) ]</t>
  </si>
  <si>
    <t xml:space="preserve"> 12x36 hrs diurno de segunda à sabado, das 07:00hs às 19:00hs </t>
  </si>
  <si>
    <t>Repac 2019 CCT 01.02.2019</t>
  </si>
  <si>
    <t>Repac 2019 Reajuste VT 13.03.2019</t>
  </si>
  <si>
    <r>
      <t xml:space="preserve">12 horas diurnas, de segunda-feira a domingo, envolvendo 2 (dois) vigilantes em turnos de 12 (doze) x 36 (trinta e seis) horas </t>
    </r>
    <r>
      <rPr>
        <b/>
        <sz val="11"/>
        <rFont val="Trebuchet MS"/>
        <family val="2"/>
      </rPr>
      <t>ARMADA</t>
    </r>
  </si>
  <si>
    <t>REPAC 2021</t>
  </si>
  <si>
    <t>REAJUSTE VT</t>
  </si>
  <si>
    <t>REPAC 2022</t>
  </si>
  <si>
    <t>Valor Unitário REAJUSTADO (R$)</t>
  </si>
  <si>
    <t>IPCA 01/2021 - 12/2021</t>
  </si>
  <si>
    <t>ORÇAMENTO - EVENTO MUSEU DE ANATOMIA DE 15/10/2022 À 29/10/2022</t>
  </si>
  <si>
    <t>5.1</t>
  </si>
  <si>
    <t xml:space="preserve"> 12x36 hrs noturno de segunda à sabado, das 07:00hs às 19:00hs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</si>
</sst>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###0;###0"/>
    <numFmt numFmtId="168" formatCode="0.0000"/>
    <numFmt numFmtId="169" formatCode="&quot;R$&quot;\ #,##0.00"/>
    <numFmt numFmtId="170" formatCode="0.0000%"/>
    <numFmt numFmtId="171" formatCode="#,##0;#,##0"/>
    <numFmt numFmtId="172" formatCode="0.000000"/>
    <numFmt numFmtId="174" formatCode="0.0000000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5"/>
      <color indexed="56"/>
      <name val="Calibri"/>
      <family val="2"/>
    </font>
    <font>
      <sz val="10"/>
      <color indexed="10"/>
      <name val="Arial"/>
      <family val="2"/>
    </font>
    <font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name val="Trebuchet MS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Trebuchet MS"/>
      <family val="2"/>
    </font>
    <font>
      <sz val="10"/>
      <color rgb="FFFF0000"/>
      <name val="Trebuchet MS"/>
      <family val="2"/>
    </font>
    <font>
      <b/>
      <sz val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1" applyNumberFormat="0" applyFill="0" applyAlignment="0" applyProtection="0"/>
    <xf numFmtId="0" fontId="8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19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169" fontId="2" fillId="4" borderId="0" xfId="0" applyNumberFormat="1" applyFont="1" applyFill="1" applyAlignment="1">
      <alignment horizontal="center" vertical="center"/>
    </xf>
    <xf numFmtId="0" fontId="10" fillId="4" borderId="0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14" fontId="11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1" fillId="4" borderId="5" xfId="0" applyNumberFormat="1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169" fontId="11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167" fontId="10" fillId="4" borderId="29" xfId="0" applyNumberFormat="1" applyFont="1" applyFill="1" applyBorder="1" applyAlignment="1">
      <alignment horizontal="center" vertical="center" wrapText="1"/>
    </xf>
    <xf numFmtId="0" fontId="11" fillId="4" borderId="6" xfId="0" applyNumberFormat="1" applyFont="1" applyFill="1" applyBorder="1" applyAlignment="1">
      <alignment horizontal="center" vertical="center" wrapText="1"/>
    </xf>
    <xf numFmtId="167" fontId="10" fillId="4" borderId="30" xfId="0" applyNumberFormat="1" applyFont="1" applyFill="1" applyBorder="1" applyAlignment="1">
      <alignment horizontal="center" vertical="center" wrapText="1"/>
    </xf>
    <xf numFmtId="169" fontId="2" fillId="4" borderId="5" xfId="0" applyNumberFormat="1" applyFont="1" applyFill="1" applyBorder="1" applyAlignment="1">
      <alignment horizontal="center" vertical="center" wrapText="1"/>
    </xf>
    <xf numFmtId="169" fontId="2" fillId="4" borderId="5" xfId="2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67" fontId="10" fillId="5" borderId="31" xfId="0" applyNumberFormat="1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169" fontId="10" fillId="5" borderId="31" xfId="0" applyNumberFormat="1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left" vertical="center" wrapText="1"/>
    </xf>
    <xf numFmtId="169" fontId="2" fillId="4" borderId="31" xfId="2" applyNumberFormat="1" applyFont="1" applyFill="1" applyBorder="1" applyAlignment="1">
      <alignment horizontal="center" vertical="center" wrapText="1"/>
    </xf>
    <xf numFmtId="169" fontId="3" fillId="6" borderId="31" xfId="2" applyNumberFormat="1" applyFont="1" applyFill="1" applyBorder="1" applyAlignment="1">
      <alignment horizontal="center" vertical="center" wrapText="1"/>
    </xf>
    <xf numFmtId="10" fontId="11" fillId="4" borderId="31" xfId="10" applyNumberFormat="1" applyFont="1" applyFill="1" applyBorder="1" applyAlignment="1">
      <alignment horizontal="center" vertical="center" wrapText="1"/>
    </xf>
    <xf numFmtId="10" fontId="10" fillId="6" borderId="31" xfId="10" applyNumberFormat="1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169" fontId="2" fillId="4" borderId="0" xfId="2" applyNumberFormat="1" applyFont="1" applyFill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0" fontId="2" fillId="6" borderId="31" xfId="0" applyFont="1" applyFill="1" applyBorder="1" applyAlignment="1">
      <alignment horizontal="left" vertical="center" wrapText="1"/>
    </xf>
    <xf numFmtId="169" fontId="10" fillId="5" borderId="5" xfId="0" applyNumberFormat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10" fontId="11" fillId="4" borderId="32" xfId="10" applyNumberFormat="1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left" vertical="center" wrapText="1"/>
    </xf>
    <xf numFmtId="10" fontId="10" fillId="6" borderId="31" xfId="0" applyNumberFormat="1" applyFont="1" applyFill="1" applyBorder="1" applyAlignment="1">
      <alignment horizontal="center" vertical="center" wrapText="1"/>
    </xf>
    <xf numFmtId="171" fontId="10" fillId="4" borderId="5" xfId="0" applyNumberFormat="1" applyFont="1" applyFill="1" applyBorder="1" applyAlignment="1">
      <alignment horizontal="center" vertical="center" wrapText="1"/>
    </xf>
    <xf numFmtId="10" fontId="2" fillId="4" borderId="0" xfId="0" applyNumberFormat="1" applyFont="1" applyFill="1" applyAlignment="1">
      <alignment vertical="center"/>
    </xf>
    <xf numFmtId="0" fontId="10" fillId="6" borderId="31" xfId="0" applyFont="1" applyFill="1" applyBorder="1" applyAlignment="1">
      <alignment horizontal="center" vertical="center" wrapText="1"/>
    </xf>
    <xf numFmtId="10" fontId="11" fillId="4" borderId="31" xfId="0" applyNumberFormat="1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33" xfId="0" applyFont="1" applyFill="1" applyBorder="1" applyAlignment="1">
      <alignment vertical="center" wrapText="1"/>
    </xf>
    <xf numFmtId="10" fontId="2" fillId="4" borderId="31" xfId="0" applyNumberFormat="1" applyFont="1" applyFill="1" applyBorder="1" applyAlignment="1">
      <alignment horizontal="center" vertical="center" wrapText="1"/>
    </xf>
    <xf numFmtId="169" fontId="2" fillId="4" borderId="31" xfId="0" applyNumberFormat="1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169" fontId="2" fillId="4" borderId="34" xfId="0" applyNumberFormat="1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left" vertical="center" wrapText="1"/>
    </xf>
    <xf numFmtId="169" fontId="3" fillId="4" borderId="36" xfId="0" applyNumberFormat="1" applyFont="1" applyFill="1" applyBorder="1" applyAlignment="1">
      <alignment horizontal="center" vertical="center" wrapText="1"/>
    </xf>
    <xf numFmtId="10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10" fontId="2" fillId="0" borderId="9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9" fontId="2" fillId="0" borderId="9" xfId="1" applyNumberFormat="1" applyFont="1" applyFill="1" applyBorder="1" applyAlignment="1">
      <alignment horizontal="center" vertical="center"/>
    </xf>
    <xf numFmtId="169" fontId="3" fillId="0" borderId="7" xfId="1" applyNumberFormat="1" applyFont="1" applyFill="1" applyBorder="1" applyAlignment="1">
      <alignment horizontal="center" vertical="center"/>
    </xf>
    <xf numFmtId="169" fontId="2" fillId="0" borderId="8" xfId="1" applyNumberFormat="1" applyFont="1" applyFill="1" applyBorder="1" applyAlignment="1">
      <alignment horizontal="center" vertical="center"/>
    </xf>
    <xf numFmtId="169" fontId="3" fillId="0" borderId="9" xfId="1" applyNumberFormat="1" applyFont="1" applyFill="1" applyBorder="1" applyAlignment="1">
      <alignment horizontal="center" vertical="center"/>
    </xf>
    <xf numFmtId="169" fontId="2" fillId="0" borderId="9" xfId="20" applyNumberFormat="1" applyFont="1" applyFill="1" applyBorder="1" applyAlignment="1">
      <alignment horizontal="center" vertical="center"/>
    </xf>
    <xf numFmtId="2" fontId="2" fillId="0" borderId="8" xfId="20" applyNumberFormat="1" applyFont="1" applyFill="1" applyBorder="1" applyAlignment="1">
      <alignment horizontal="center" vertical="center"/>
    </xf>
    <xf numFmtId="2" fontId="2" fillId="0" borderId="9" xfId="20" applyNumberFormat="1" applyFont="1" applyFill="1" applyBorder="1" applyAlignment="1">
      <alignment horizontal="center" vertical="center"/>
    </xf>
    <xf numFmtId="0" fontId="2" fillId="0" borderId="0" xfId="6" applyFont="1"/>
    <xf numFmtId="0" fontId="3" fillId="0" borderId="0" xfId="6" applyFont="1" applyAlignment="1">
      <alignment horizontal="center" vertical="center"/>
    </xf>
    <xf numFmtId="0" fontId="12" fillId="0" borderId="0" xfId="6" applyFont="1"/>
    <xf numFmtId="0" fontId="13" fillId="0" borderId="0" xfId="6" applyFont="1"/>
    <xf numFmtId="0" fontId="2" fillId="4" borderId="0" xfId="6" applyFont="1" applyFill="1"/>
    <xf numFmtId="0" fontId="3" fillId="4" borderId="10" xfId="6" applyFont="1" applyFill="1" applyBorder="1"/>
    <xf numFmtId="0" fontId="2" fillId="4" borderId="11" xfId="6" applyFont="1" applyFill="1" applyBorder="1"/>
    <xf numFmtId="10" fontId="3" fillId="4" borderId="11" xfId="6" applyNumberFormat="1" applyFont="1" applyFill="1" applyBorder="1" applyAlignment="1">
      <alignment horizontal="center"/>
    </xf>
    <xf numFmtId="0" fontId="2" fillId="4" borderId="12" xfId="6" applyFont="1" applyFill="1" applyBorder="1"/>
    <xf numFmtId="0" fontId="2" fillId="4" borderId="13" xfId="6" applyFont="1" applyFill="1" applyBorder="1"/>
    <xf numFmtId="0" fontId="2" fillId="4" borderId="0" xfId="6" applyFont="1" applyFill="1" applyBorder="1"/>
    <xf numFmtId="0" fontId="2" fillId="4" borderId="14" xfId="6" applyFont="1" applyFill="1" applyBorder="1"/>
    <xf numFmtId="49" fontId="3" fillId="4" borderId="13" xfId="6" applyNumberFormat="1" applyFont="1" applyFill="1" applyBorder="1" applyAlignment="1">
      <alignment horizontal="center" vertical="center" wrapText="1"/>
    </xf>
    <xf numFmtId="0" fontId="3" fillId="4" borderId="0" xfId="6" applyFont="1" applyFill="1" applyBorder="1" applyAlignment="1">
      <alignment vertical="center" wrapText="1"/>
    </xf>
    <xf numFmtId="10" fontId="3" fillId="4" borderId="0" xfId="11" applyNumberFormat="1" applyFont="1" applyFill="1" applyBorder="1" applyAlignment="1">
      <alignment horizontal="center" vertical="center"/>
    </xf>
    <xf numFmtId="10" fontId="17" fillId="4" borderId="0" xfId="11" applyNumberFormat="1" applyFont="1" applyFill="1" applyBorder="1" applyAlignment="1">
      <alignment horizontal="center" vertical="center"/>
    </xf>
    <xf numFmtId="10" fontId="3" fillId="0" borderId="0" xfId="13" applyNumberFormat="1" applyFont="1" applyAlignment="1">
      <alignment horizontal="center" vertical="center"/>
    </xf>
    <xf numFmtId="49" fontId="3" fillId="4" borderId="15" xfId="6" applyNumberFormat="1" applyFont="1" applyFill="1" applyBorder="1" applyAlignment="1">
      <alignment horizontal="center" vertical="center" wrapText="1"/>
    </xf>
    <xf numFmtId="0" fontId="3" fillId="4" borderId="16" xfId="6" applyFont="1" applyFill="1" applyBorder="1" applyAlignment="1">
      <alignment vertical="center" wrapText="1"/>
    </xf>
    <xf numFmtId="10" fontId="3" fillId="4" borderId="16" xfId="11" applyNumberFormat="1" applyFont="1" applyFill="1" applyBorder="1" applyAlignment="1">
      <alignment horizontal="center" vertical="center"/>
    </xf>
    <xf numFmtId="0" fontId="2" fillId="4" borderId="16" xfId="6" applyFont="1" applyFill="1" applyBorder="1"/>
    <xf numFmtId="0" fontId="2" fillId="4" borderId="17" xfId="6" applyFont="1" applyFill="1" applyBorder="1"/>
    <xf numFmtId="2" fontId="17" fillId="0" borderId="0" xfId="6" applyNumberFormat="1" applyFont="1" applyAlignment="1">
      <alignment horizontal="center" vertical="center"/>
    </xf>
    <xf numFmtId="0" fontId="18" fillId="0" borderId="0" xfId="6" applyFont="1" applyAlignment="1">
      <alignment horizontal="left" vertical="center"/>
    </xf>
    <xf numFmtId="0" fontId="2" fillId="4" borderId="0" xfId="6" applyFont="1" applyFill="1" applyBorder="1" applyAlignment="1">
      <alignment horizontal="left"/>
    </xf>
    <xf numFmtId="0" fontId="2" fillId="4" borderId="0" xfId="6" quotePrefix="1" applyFont="1" applyFill="1" applyBorder="1" applyAlignment="1">
      <alignment horizontal="left"/>
    </xf>
    <xf numFmtId="0" fontId="3" fillId="4" borderId="0" xfId="6" applyFont="1" applyFill="1" applyBorder="1"/>
    <xf numFmtId="0" fontId="2" fillId="4" borderId="15" xfId="6" applyFont="1" applyFill="1" applyBorder="1"/>
    <xf numFmtId="10" fontId="3" fillId="0" borderId="0" xfId="14" applyNumberFormat="1" applyFont="1" applyAlignment="1">
      <alignment horizontal="center" vertical="center"/>
    </xf>
    <xf numFmtId="10" fontId="2" fillId="4" borderId="0" xfId="11" applyNumberFormat="1" applyFont="1" applyFill="1" applyBorder="1" applyAlignment="1">
      <alignment horizontal="center" vertical="center"/>
    </xf>
    <xf numFmtId="168" fontId="17" fillId="0" borderId="0" xfId="6" applyNumberFormat="1" applyFont="1" applyAlignment="1">
      <alignment horizontal="center" vertical="center"/>
    </xf>
    <xf numFmtId="0" fontId="2" fillId="4" borderId="16" xfId="6" quotePrefix="1" applyFont="1" applyFill="1" applyBorder="1" applyAlignment="1">
      <alignment horizontal="left"/>
    </xf>
    <xf numFmtId="172" fontId="17" fillId="0" borderId="0" xfId="6" applyNumberFormat="1" applyFont="1" applyAlignment="1">
      <alignment horizontal="center" vertical="center"/>
    </xf>
    <xf numFmtId="10" fontId="3" fillId="4" borderId="0" xfId="6" applyNumberFormat="1" applyFont="1" applyFill="1" applyBorder="1" applyAlignment="1">
      <alignment horizontal="center"/>
    </xf>
    <xf numFmtId="0" fontId="3" fillId="4" borderId="13" xfId="6" applyFont="1" applyFill="1" applyBorder="1"/>
    <xf numFmtId="0" fontId="6" fillId="0" borderId="0" xfId="6" applyFont="1" applyAlignment="1">
      <alignment horizontal="left" vertical="center"/>
    </xf>
    <xf numFmtId="0" fontId="2" fillId="0" borderId="13" xfId="6" applyFont="1" applyBorder="1"/>
    <xf numFmtId="10" fontId="3" fillId="0" borderId="0" xfId="6" applyNumberFormat="1" applyFont="1" applyAlignment="1">
      <alignment horizontal="center" vertical="center"/>
    </xf>
    <xf numFmtId="169" fontId="3" fillId="7" borderId="5" xfId="0" applyNumberFormat="1" applyFont="1" applyFill="1" applyBorder="1" applyAlignment="1">
      <alignment horizontal="center" vertical="center" wrapText="1"/>
    </xf>
    <xf numFmtId="169" fontId="18" fillId="4" borderId="0" xfId="0" applyNumberFormat="1" applyFont="1" applyFill="1" applyAlignment="1">
      <alignment horizontal="center" vertical="center"/>
    </xf>
    <xf numFmtId="170" fontId="2" fillId="4" borderId="0" xfId="9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169" fontId="3" fillId="6" borderId="5" xfId="0" applyNumberFormat="1" applyFont="1" applyFill="1" applyBorder="1" applyAlignment="1">
      <alignment horizontal="center" vertical="center" wrapText="1"/>
    </xf>
    <xf numFmtId="10" fontId="2" fillId="4" borderId="31" xfId="9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6" applyFont="1" applyFill="1" applyBorder="1"/>
    <xf numFmtId="169" fontId="17" fillId="4" borderId="0" xfId="0" applyNumberFormat="1" applyFont="1" applyFill="1" applyAlignment="1">
      <alignment horizontal="center" vertical="center"/>
    </xf>
    <xf numFmtId="169" fontId="3" fillId="4" borderId="0" xfId="0" applyNumberFormat="1" applyFont="1" applyFill="1" applyAlignment="1">
      <alignment horizontal="center" vertical="center"/>
    </xf>
    <xf numFmtId="10" fontId="3" fillId="0" borderId="0" xfId="9" applyNumberFormat="1" applyFont="1" applyAlignment="1">
      <alignment horizontal="center" vertical="center"/>
    </xf>
    <xf numFmtId="10" fontId="2" fillId="0" borderId="0" xfId="6" applyNumberFormat="1" applyFont="1"/>
    <xf numFmtId="169" fontId="10" fillId="5" borderId="33" xfId="0" applyNumberFormat="1" applyFont="1" applyFill="1" applyBorder="1" applyAlignment="1">
      <alignment horizontal="center" vertical="center" wrapText="1"/>
    </xf>
    <xf numFmtId="169" fontId="3" fillId="6" borderId="33" xfId="2" applyNumberFormat="1" applyFont="1" applyFill="1" applyBorder="1" applyAlignment="1">
      <alignment horizontal="center" vertical="center" wrapText="1"/>
    </xf>
    <xf numFmtId="10" fontId="11" fillId="4" borderId="5" xfId="9" applyNumberFormat="1" applyFont="1" applyFill="1" applyBorder="1" applyAlignment="1">
      <alignment horizontal="center" vertical="center" wrapText="1"/>
    </xf>
    <xf numFmtId="10" fontId="10" fillId="6" borderId="5" xfId="9" applyNumberFormat="1" applyFont="1" applyFill="1" applyBorder="1" applyAlignment="1">
      <alignment horizontal="center" vertical="center" wrapText="1"/>
    </xf>
    <xf numFmtId="43" fontId="3" fillId="4" borderId="37" xfId="0" applyNumberFormat="1" applyFont="1" applyFill="1" applyBorder="1" applyAlignment="1">
      <alignment horizontal="center" vertical="center"/>
    </xf>
    <xf numFmtId="10" fontId="3" fillId="4" borderId="37" xfId="10" applyNumberFormat="1" applyFont="1" applyFill="1" applyBorder="1" applyAlignment="1">
      <alignment horizontal="center" vertical="center"/>
    </xf>
    <xf numFmtId="10" fontId="2" fillId="4" borderId="37" xfId="1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0" fontId="3" fillId="4" borderId="0" xfId="10" applyNumberFormat="1" applyFont="1" applyFill="1" applyAlignment="1">
      <alignment vertical="center"/>
    </xf>
    <xf numFmtId="10" fontId="2" fillId="4" borderId="0" xfId="10" applyNumberFormat="1" applyFont="1" applyFill="1" applyAlignment="1">
      <alignment vertical="center"/>
    </xf>
    <xf numFmtId="0" fontId="15" fillId="3" borderId="0" xfId="6" applyFont="1" applyFill="1" applyBorder="1" applyAlignment="1">
      <alignment horizontal="center" vertical="center" wrapText="1"/>
    </xf>
    <xf numFmtId="0" fontId="14" fillId="0" borderId="0" xfId="6" applyFont="1" applyAlignment="1">
      <alignment vertical="center"/>
    </xf>
    <xf numFmtId="0" fontId="14" fillId="0" borderId="0" xfId="6" applyFont="1" applyAlignment="1">
      <alignment horizontal="justify" vertical="center" wrapText="1"/>
    </xf>
    <xf numFmtId="0" fontId="14" fillId="0" borderId="0" xfId="6" applyFont="1"/>
    <xf numFmtId="0" fontId="15" fillId="0" borderId="0" xfId="6" applyFont="1" applyAlignment="1">
      <alignment vertical="center"/>
    </xf>
    <xf numFmtId="0" fontId="15" fillId="4" borderId="0" xfId="6" applyFont="1" applyFill="1" applyBorder="1" applyAlignment="1">
      <alignment horizontal="center" vertical="center"/>
    </xf>
    <xf numFmtId="0" fontId="15" fillId="3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 wrapText="1"/>
    </xf>
    <xf numFmtId="0" fontId="15" fillId="5" borderId="0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37" fontId="14" fillId="2" borderId="5" xfId="6" applyNumberFormat="1" applyFont="1" applyFill="1" applyBorder="1" applyAlignment="1">
      <alignment horizontal="center" vertical="center" wrapText="1"/>
    </xf>
    <xf numFmtId="166" fontId="14" fillId="2" borderId="5" xfId="1" applyNumberFormat="1" applyFont="1" applyFill="1" applyBorder="1" applyAlignment="1">
      <alignment horizontal="center" vertical="center" wrapText="1"/>
    </xf>
    <xf numFmtId="166" fontId="14" fillId="0" borderId="0" xfId="1" applyNumberFormat="1" applyFont="1" applyBorder="1" applyAlignment="1">
      <alignment horizontal="center" vertical="center" wrapText="1"/>
    </xf>
    <xf numFmtId="169" fontId="20" fillId="0" borderId="0" xfId="6" applyNumberFormat="1" applyFont="1" applyBorder="1" applyAlignment="1">
      <alignment horizontal="center" vertical="center"/>
    </xf>
    <xf numFmtId="166" fontId="15" fillId="7" borderId="0" xfId="6" applyNumberFormat="1" applyFont="1" applyFill="1" applyBorder="1" applyAlignment="1">
      <alignment horizontal="center" vertical="center" wrapText="1"/>
    </xf>
    <xf numFmtId="166" fontId="15" fillId="0" borderId="0" xfId="1" applyNumberFormat="1" applyFont="1" applyBorder="1" applyAlignment="1">
      <alignment horizontal="center" vertical="center" wrapText="1"/>
    </xf>
    <xf numFmtId="0" fontId="14" fillId="2" borderId="0" xfId="6" applyFont="1" applyFill="1" applyBorder="1" applyAlignment="1">
      <alignment horizontal="justify" vertical="center"/>
    </xf>
    <xf numFmtId="169" fontId="14" fillId="2" borderId="0" xfId="6" applyNumberFormat="1" applyFont="1" applyFill="1" applyBorder="1" applyAlignment="1">
      <alignment horizontal="center" vertical="center"/>
    </xf>
    <xf numFmtId="0" fontId="15" fillId="0" borderId="0" xfId="6" applyFont="1" applyAlignment="1">
      <alignment horizontal="justify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4" fillId="2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vertical="center" wrapText="1"/>
    </xf>
    <xf numFmtId="0" fontId="14" fillId="2" borderId="0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horizontal="right" vertical="center"/>
    </xf>
    <xf numFmtId="0" fontId="14" fillId="2" borderId="0" xfId="6" applyFont="1" applyFill="1" applyBorder="1" applyAlignment="1">
      <alignment horizontal="left"/>
    </xf>
    <xf numFmtId="0" fontId="15" fillId="2" borderId="0" xfId="6" applyFont="1" applyFill="1" applyBorder="1" applyAlignment="1">
      <alignment horizontal="center"/>
    </xf>
    <xf numFmtId="0" fontId="14" fillId="2" borderId="0" xfId="6" applyFont="1" applyFill="1" applyBorder="1" applyAlignment="1">
      <alignment horizontal="center"/>
    </xf>
    <xf numFmtId="0" fontId="14" fillId="0" borderId="0" xfId="6" applyFont="1" applyBorder="1"/>
    <xf numFmtId="0" fontId="15" fillId="0" borderId="0" xfId="6" applyFont="1"/>
    <xf numFmtId="169" fontId="2" fillId="4" borderId="0" xfId="0" applyNumberFormat="1" applyFont="1" applyFill="1" applyAlignment="1">
      <alignment vertical="center"/>
    </xf>
    <xf numFmtId="164" fontId="2" fillId="4" borderId="0" xfId="1" applyFont="1" applyFill="1" applyAlignment="1">
      <alignment vertical="center"/>
    </xf>
    <xf numFmtId="164" fontId="15" fillId="6" borderId="0" xfId="1" applyFont="1" applyFill="1" applyBorder="1" applyAlignment="1">
      <alignment horizontal="center" vertical="center" wrapText="1"/>
    </xf>
    <xf numFmtId="0" fontId="2" fillId="4" borderId="0" xfId="6" quotePrefix="1" applyFont="1" applyFill="1" applyBorder="1"/>
    <xf numFmtId="0" fontId="14" fillId="2" borderId="5" xfId="6" applyFont="1" applyFill="1" applyBorder="1" applyAlignment="1">
      <alignment horizontal="left" vertical="center" wrapText="1"/>
    </xf>
    <xf numFmtId="0" fontId="14" fillId="5" borderId="5" xfId="6" applyFont="1" applyFill="1" applyBorder="1" applyAlignment="1">
      <alignment horizontal="left" vertical="center" wrapText="1"/>
    </xf>
    <xf numFmtId="0" fontId="14" fillId="2" borderId="13" xfId="6" applyFont="1" applyFill="1" applyBorder="1" applyAlignment="1">
      <alignment horizontal="justify" vertical="center" wrapText="1"/>
    </xf>
    <xf numFmtId="0" fontId="14" fillId="2" borderId="14" xfId="6" applyFont="1" applyFill="1" applyBorder="1" applyAlignment="1">
      <alignment horizontal="justify" vertical="center" wrapText="1"/>
    </xf>
    <xf numFmtId="0" fontId="15" fillId="5" borderId="18" xfId="6" applyFont="1" applyFill="1" applyBorder="1" applyAlignment="1">
      <alignment horizontal="center" vertical="center" wrapText="1"/>
    </xf>
    <xf numFmtId="0" fontId="14" fillId="2" borderId="18" xfId="6" applyFont="1" applyFill="1" applyBorder="1" applyAlignment="1">
      <alignment horizontal="center" vertical="center"/>
    </xf>
    <xf numFmtId="0" fontId="15" fillId="2" borderId="13" xfId="6" applyFont="1" applyFill="1" applyBorder="1" applyAlignment="1">
      <alignment horizontal="left" vertical="center"/>
    </xf>
    <xf numFmtId="0" fontId="14" fillId="2" borderId="14" xfId="6" applyFont="1" applyFill="1" applyBorder="1" applyAlignment="1">
      <alignment horizontal="center" vertical="center"/>
    </xf>
    <xf numFmtId="0" fontId="14" fillId="2" borderId="14" xfId="6" applyFont="1" applyFill="1" applyBorder="1" applyAlignment="1">
      <alignment vertical="center" wrapText="1"/>
    </xf>
    <xf numFmtId="0" fontId="14" fillId="2" borderId="13" xfId="6" applyFont="1" applyFill="1" applyBorder="1" applyAlignment="1">
      <alignment horizontal="left" vertical="center"/>
    </xf>
    <xf numFmtId="0" fontId="14" fillId="2" borderId="13" xfId="6" applyFont="1" applyFill="1" applyBorder="1" applyAlignment="1">
      <alignment horizontal="left"/>
    </xf>
    <xf numFmtId="0" fontId="14" fillId="2" borderId="14" xfId="6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horizontal="center" vertical="center"/>
    </xf>
    <xf numFmtId="169" fontId="11" fillId="4" borderId="6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10" fontId="3" fillId="4" borderId="0" xfId="9" applyNumberFormat="1" applyFont="1" applyFill="1" applyAlignment="1">
      <alignment vertical="center"/>
    </xf>
    <xf numFmtId="169" fontId="19" fillId="0" borderId="0" xfId="6" applyNumberFormat="1" applyFont="1" applyBorder="1" applyAlignment="1">
      <alignment horizontal="center" vertical="center"/>
    </xf>
    <xf numFmtId="0" fontId="15" fillId="3" borderId="5" xfId="8" applyFont="1" applyFill="1" applyBorder="1" applyAlignment="1">
      <alignment horizontal="center" vertical="center" wrapText="1"/>
    </xf>
    <xf numFmtId="0" fontId="14" fillId="2" borderId="5" xfId="8" applyFont="1" applyFill="1" applyBorder="1" applyAlignment="1">
      <alignment horizontal="center" vertical="center" wrapText="1"/>
    </xf>
    <xf numFmtId="3" fontId="14" fillId="2" borderId="5" xfId="8" applyNumberFormat="1" applyFont="1" applyFill="1" applyBorder="1" applyAlignment="1">
      <alignment horizontal="center" vertical="center" wrapText="1"/>
    </xf>
    <xf numFmtId="166" fontId="14" fillId="2" borderId="5" xfId="8" applyNumberFormat="1" applyFont="1" applyFill="1" applyBorder="1" applyAlignment="1">
      <alignment horizontal="center" vertical="center" wrapText="1"/>
    </xf>
    <xf numFmtId="0" fontId="14" fillId="2" borderId="0" xfId="8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5" fillId="3" borderId="19" xfId="8" applyNumberFormat="1" applyFont="1" applyFill="1" applyBorder="1" applyAlignment="1">
      <alignment horizontal="center" vertical="center" wrapText="1"/>
    </xf>
    <xf numFmtId="166" fontId="14" fillId="2" borderId="19" xfId="8" applyNumberFormat="1" applyFont="1" applyFill="1" applyBorder="1" applyAlignment="1">
      <alignment horizontal="center" vertical="center" wrapText="1"/>
    </xf>
    <xf numFmtId="166" fontId="15" fillId="6" borderId="19" xfId="8" applyNumberFormat="1" applyFont="1" applyFill="1" applyBorder="1" applyAlignment="1">
      <alignment horizontal="center" vertical="center"/>
    </xf>
    <xf numFmtId="0" fontId="14" fillId="2" borderId="13" xfId="8" applyFont="1" applyFill="1" applyBorder="1" applyAlignment="1">
      <alignment horizontal="center" vertical="center"/>
    </xf>
    <xf numFmtId="0" fontId="14" fillId="2" borderId="14" xfId="8" applyFont="1" applyFill="1" applyBorder="1" applyAlignment="1">
      <alignment horizontal="center" vertical="center"/>
    </xf>
    <xf numFmtId="166" fontId="14" fillId="4" borderId="19" xfId="8" applyNumberFormat="1" applyFont="1" applyFill="1" applyBorder="1" applyAlignment="1">
      <alignment horizontal="center" vertical="center" wrapText="1"/>
    </xf>
    <xf numFmtId="166" fontId="14" fillId="5" borderId="5" xfId="8" applyNumberFormat="1" applyFont="1" applyFill="1" applyBorder="1" applyAlignment="1">
      <alignment horizontal="center" vertical="center" wrapText="1"/>
    </xf>
    <xf numFmtId="0" fontId="2" fillId="4" borderId="16" xfId="6" quotePrefix="1" applyFont="1" applyFill="1" applyBorder="1"/>
    <xf numFmtId="0" fontId="3" fillId="0" borderId="0" xfId="0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center" vertical="center"/>
    </xf>
    <xf numFmtId="169" fontId="2" fillId="0" borderId="0" xfId="9" applyNumberFormat="1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169" fontId="3" fillId="4" borderId="0" xfId="0" applyNumberFormat="1" applyFont="1" applyFill="1" applyAlignment="1">
      <alignment vertical="center"/>
    </xf>
    <xf numFmtId="10" fontId="2" fillId="4" borderId="0" xfId="9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9" fontId="2" fillId="0" borderId="0" xfId="1" applyNumberFormat="1" applyFont="1" applyFill="1" applyBorder="1" applyAlignment="1">
      <alignment horizontal="center" vertical="center"/>
    </xf>
    <xf numFmtId="164" fontId="2" fillId="0" borderId="0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164" fontId="2" fillId="4" borderId="0" xfId="1" applyNumberFormat="1" applyFont="1" applyFill="1" applyAlignment="1">
      <alignment vertical="center"/>
    </xf>
    <xf numFmtId="0" fontId="14" fillId="0" borderId="0" xfId="1" applyNumberFormat="1" applyFont="1" applyBorder="1" applyAlignment="1">
      <alignment horizontal="center" vertical="center" wrapText="1"/>
    </xf>
    <xf numFmtId="37" fontId="14" fillId="2" borderId="0" xfId="6" applyNumberFormat="1" applyFont="1" applyFill="1" applyBorder="1" applyAlignment="1">
      <alignment horizontal="center" vertical="center" wrapText="1"/>
    </xf>
    <xf numFmtId="169" fontId="15" fillId="0" borderId="0" xfId="6" applyNumberFormat="1" applyFont="1" applyAlignment="1">
      <alignment vertical="center"/>
    </xf>
    <xf numFmtId="0" fontId="20" fillId="0" borderId="0" xfId="6" applyNumberFormat="1" applyFont="1" applyBorder="1" applyAlignment="1">
      <alignment horizontal="center" vertical="center"/>
    </xf>
    <xf numFmtId="37" fontId="20" fillId="0" borderId="0" xfId="6" applyNumberFormat="1" applyFont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166" fontId="15" fillId="5" borderId="26" xfId="6" applyNumberFormat="1" applyFont="1" applyFill="1" applyBorder="1" applyAlignment="1">
      <alignment vertical="center"/>
    </xf>
    <xf numFmtId="166" fontId="15" fillId="5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 wrapText="1"/>
    </xf>
    <xf numFmtId="169" fontId="10" fillId="7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49" fontId="3" fillId="7" borderId="13" xfId="6" applyNumberFormat="1" applyFont="1" applyFill="1" applyBorder="1" applyAlignment="1">
      <alignment horizontal="center" vertical="center" wrapText="1"/>
    </xf>
    <xf numFmtId="0" fontId="3" fillId="7" borderId="0" xfId="6" applyFont="1" applyFill="1" applyBorder="1" applyAlignment="1">
      <alignment vertical="center" wrapText="1"/>
    </xf>
    <xf numFmtId="10" fontId="3" fillId="7" borderId="0" xfId="11" applyNumberFormat="1" applyFont="1" applyFill="1" applyBorder="1" applyAlignment="1">
      <alignment horizontal="center" vertical="center"/>
    </xf>
    <xf numFmtId="0" fontId="3" fillId="7" borderId="0" xfId="6" applyFont="1" applyFill="1" applyBorder="1"/>
    <xf numFmtId="0" fontId="2" fillId="7" borderId="0" xfId="6" applyFont="1" applyFill="1" applyBorder="1"/>
    <xf numFmtId="0" fontId="2" fillId="7" borderId="14" xfId="6" applyFont="1" applyFill="1" applyBorder="1"/>
    <xf numFmtId="166" fontId="15" fillId="7" borderId="5" xfId="6" applyNumberFormat="1" applyFont="1" applyFill="1" applyBorder="1" applyAlignment="1">
      <alignment horizontal="center" vertical="center"/>
    </xf>
    <xf numFmtId="166" fontId="14" fillId="0" borderId="5" xfId="1" applyNumberFormat="1" applyFont="1" applyFill="1" applyBorder="1" applyAlignment="1">
      <alignment horizontal="center" vertical="center" wrapText="1"/>
    </xf>
    <xf numFmtId="37" fontId="14" fillId="0" borderId="5" xfId="6" applyNumberFormat="1" applyFont="1" applyFill="1" applyBorder="1" applyAlignment="1">
      <alignment horizontal="center" vertical="center" wrapText="1"/>
    </xf>
    <xf numFmtId="4" fontId="14" fillId="0" borderId="0" xfId="1" applyNumberFormat="1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4" fillId="0" borderId="18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15" fillId="3" borderId="5" xfId="8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9" fontId="1" fillId="4" borderId="0" xfId="0" applyNumberFormat="1" applyFont="1" applyFill="1" applyAlignment="1">
      <alignment horizontal="center" vertical="center"/>
    </xf>
    <xf numFmtId="169" fontId="1" fillId="4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169" fontId="1" fillId="4" borderId="5" xfId="2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69" fontId="1" fillId="4" borderId="0" xfId="0" applyNumberFormat="1" applyFont="1" applyFill="1" applyAlignment="1">
      <alignment vertical="center"/>
    </xf>
    <xf numFmtId="169" fontId="1" fillId="4" borderId="31" xfId="2" applyNumberFormat="1" applyFont="1" applyFill="1" applyBorder="1" applyAlignment="1">
      <alignment horizontal="center" vertical="center" wrapText="1"/>
    </xf>
    <xf numFmtId="169" fontId="1" fillId="4" borderId="31" xfId="0" applyNumberFormat="1" applyFont="1" applyFill="1" applyBorder="1" applyAlignment="1">
      <alignment horizontal="center" vertical="center" wrapText="1"/>
    </xf>
    <xf numFmtId="169" fontId="1" fillId="4" borderId="34" xfId="0" applyNumberFormat="1" applyFont="1" applyFill="1" applyBorder="1" applyAlignment="1">
      <alignment horizontal="center" vertical="center" wrapText="1"/>
    </xf>
    <xf numFmtId="37" fontId="14" fillId="4" borderId="5" xfId="6" applyNumberFormat="1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left" vertical="center" wrapText="1"/>
    </xf>
    <xf numFmtId="0" fontId="14" fillId="4" borderId="18" xfId="6" applyFont="1" applyFill="1" applyBorder="1" applyAlignment="1">
      <alignment horizontal="center" vertical="center"/>
    </xf>
    <xf numFmtId="166" fontId="14" fillId="4" borderId="5" xfId="1" applyNumberFormat="1" applyFont="1" applyFill="1" applyBorder="1" applyAlignment="1">
      <alignment horizontal="center" vertical="center" wrapText="1"/>
    </xf>
    <xf numFmtId="0" fontId="15" fillId="4" borderId="5" xfId="6" quotePrefix="1" applyFont="1" applyFill="1" applyBorder="1" applyAlignment="1">
      <alignment horizontal="left" vertical="center" wrapText="1"/>
    </xf>
    <xf numFmtId="37" fontId="15" fillId="4" borderId="5" xfId="6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justify"/>
    </xf>
    <xf numFmtId="0" fontId="10" fillId="5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169" fontId="1" fillId="7" borderId="5" xfId="2" applyNumberFormat="1" applyFont="1" applyFill="1" applyBorder="1" applyAlignment="1">
      <alignment horizontal="center" vertical="center" wrapText="1"/>
    </xf>
    <xf numFmtId="169" fontId="1" fillId="7" borderId="31" xfId="2" applyNumberFormat="1" applyFont="1" applyFill="1" applyBorder="1" applyAlignment="1">
      <alignment horizontal="center" vertical="center" wrapText="1"/>
    </xf>
    <xf numFmtId="0" fontId="15" fillId="7" borderId="5" xfId="8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9" fontId="2" fillId="7" borderId="31" xfId="2" applyNumberFormat="1" applyFont="1" applyFill="1" applyBorder="1" applyAlignment="1">
      <alignment horizontal="center" vertical="center" wrapText="1"/>
    </xf>
    <xf numFmtId="170" fontId="15" fillId="7" borderId="0" xfId="9" applyNumberFormat="1" applyFont="1" applyFill="1" applyBorder="1" applyAlignment="1">
      <alignment horizontal="center" vertical="center" wrapText="1"/>
    </xf>
    <xf numFmtId="174" fontId="14" fillId="0" borderId="0" xfId="0" applyNumberFormat="1" applyFont="1" applyAlignment="1">
      <alignment horizontal="center" vertical="center"/>
    </xf>
    <xf numFmtId="0" fontId="15" fillId="0" borderId="20" xfId="6" applyFont="1" applyFill="1" applyBorder="1" applyAlignment="1">
      <alignment horizontal="right" vertical="center"/>
    </xf>
    <xf numFmtId="0" fontId="15" fillId="0" borderId="21" xfId="6" applyFont="1" applyFill="1" applyBorder="1" applyAlignment="1">
      <alignment horizontal="right" vertical="center"/>
    </xf>
    <xf numFmtId="166" fontId="15" fillId="0" borderId="21" xfId="6" applyNumberFormat="1" applyFont="1" applyFill="1" applyBorder="1" applyAlignment="1">
      <alignment horizontal="center" vertical="center"/>
    </xf>
    <xf numFmtId="166" fontId="15" fillId="0" borderId="22" xfId="6" applyNumberFormat="1" applyFont="1" applyFill="1" applyBorder="1" applyAlignment="1">
      <alignment horizontal="center" vertical="center"/>
    </xf>
    <xf numFmtId="166" fontId="14" fillId="0" borderId="5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5" fillId="5" borderId="18" xfId="6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 wrapText="1"/>
    </xf>
    <xf numFmtId="166" fontId="15" fillId="5" borderId="19" xfId="6" applyNumberFormat="1" applyFont="1" applyFill="1" applyBorder="1" applyAlignment="1">
      <alignment horizontal="center" vertical="center" wrapText="1"/>
    </xf>
    <xf numFmtId="0" fontId="16" fillId="0" borderId="20" xfId="6" applyFont="1" applyFill="1" applyBorder="1" applyAlignment="1">
      <alignment horizontal="center" vertical="center"/>
    </xf>
    <xf numFmtId="0" fontId="16" fillId="0" borderId="21" xfId="6" applyFont="1" applyFill="1" applyBorder="1" applyAlignment="1">
      <alignment horizontal="center" vertical="center"/>
    </xf>
    <xf numFmtId="0" fontId="16" fillId="0" borderId="22" xfId="6" applyFont="1" applyFill="1" applyBorder="1" applyAlignment="1">
      <alignment horizontal="center" vertical="center"/>
    </xf>
    <xf numFmtId="0" fontId="15" fillId="5" borderId="19" xfId="6" applyFont="1" applyFill="1" applyBorder="1" applyAlignment="1">
      <alignment horizontal="center" vertical="center"/>
    </xf>
    <xf numFmtId="0" fontId="15" fillId="0" borderId="18" xfId="6" applyFont="1" applyFill="1" applyBorder="1" applyAlignment="1">
      <alignment horizontal="right" vertical="center"/>
    </xf>
    <xf numFmtId="0" fontId="15" fillId="0" borderId="5" xfId="6" applyFont="1" applyFill="1" applyBorder="1" applyAlignment="1">
      <alignment horizontal="right" vertical="center"/>
    </xf>
    <xf numFmtId="166" fontId="15" fillId="0" borderId="5" xfId="6" applyNumberFormat="1" applyFont="1" applyFill="1" applyBorder="1" applyAlignment="1">
      <alignment horizontal="center" vertical="center"/>
    </xf>
    <xf numFmtId="166" fontId="15" fillId="0" borderId="19" xfId="6" applyNumberFormat="1" applyFont="1" applyFill="1" applyBorder="1" applyAlignment="1">
      <alignment horizontal="center" vertical="center"/>
    </xf>
    <xf numFmtId="2" fontId="15" fillId="0" borderId="5" xfId="6" applyNumberFormat="1" applyFont="1" applyFill="1" applyBorder="1" applyAlignment="1">
      <alignment horizontal="center" vertical="center"/>
    </xf>
    <xf numFmtId="2" fontId="15" fillId="0" borderId="19" xfId="6" applyNumberFormat="1" applyFont="1" applyFill="1" applyBorder="1" applyAlignment="1">
      <alignment horizontal="center" vertical="center"/>
    </xf>
    <xf numFmtId="0" fontId="15" fillId="5" borderId="18" xfId="6" applyFont="1" applyFill="1" applyBorder="1" applyAlignment="1">
      <alignment horizontal="right" vertical="center"/>
    </xf>
    <xf numFmtId="0" fontId="15" fillId="5" borderId="5" xfId="6" applyFont="1" applyFill="1" applyBorder="1" applyAlignment="1">
      <alignment horizontal="right" vertical="center"/>
    </xf>
    <xf numFmtId="166" fontId="15" fillId="5" borderId="5" xfId="6" applyNumberFormat="1" applyFont="1" applyFill="1" applyBorder="1" applyAlignment="1">
      <alignment horizontal="center" vertical="center"/>
    </xf>
    <xf numFmtId="166" fontId="15" fillId="5" borderId="19" xfId="6" applyNumberFormat="1" applyFont="1" applyFill="1" applyBorder="1" applyAlignment="1">
      <alignment horizontal="center" vertical="center"/>
    </xf>
    <xf numFmtId="166" fontId="14" fillId="0" borderId="5" xfId="1" applyNumberFormat="1" applyFont="1" applyBorder="1" applyAlignment="1">
      <alignment horizontal="center" vertical="center" wrapText="1"/>
    </xf>
    <xf numFmtId="166" fontId="14" fillId="0" borderId="19" xfId="1" applyNumberFormat="1" applyFont="1" applyBorder="1" applyAlignment="1">
      <alignment horizontal="center" vertical="center" wrapText="1"/>
    </xf>
    <xf numFmtId="166" fontId="14" fillId="0" borderId="27" xfId="1" applyNumberFormat="1" applyFont="1" applyBorder="1" applyAlignment="1">
      <alignment horizontal="center" vertical="center" wrapText="1"/>
    </xf>
    <xf numFmtId="0" fontId="14" fillId="2" borderId="20" xfId="6" applyFont="1" applyFill="1" applyBorder="1" applyAlignment="1">
      <alignment horizontal="center" vertical="center"/>
    </xf>
    <xf numFmtId="0" fontId="14" fillId="2" borderId="27" xfId="6" applyFont="1" applyFill="1" applyBorder="1" applyAlignment="1">
      <alignment horizontal="center" vertical="center"/>
    </xf>
    <xf numFmtId="166" fontId="14" fillId="2" borderId="26" xfId="1" applyNumberFormat="1" applyFont="1" applyFill="1" applyBorder="1" applyAlignment="1">
      <alignment horizontal="center" vertical="center" wrapText="1"/>
    </xf>
    <xf numFmtId="166" fontId="14" fillId="2" borderId="21" xfId="1" applyNumberFormat="1" applyFont="1" applyFill="1" applyBorder="1" applyAlignment="1">
      <alignment horizontal="center" vertical="center" wrapText="1"/>
    </xf>
    <xf numFmtId="166" fontId="14" fillId="2" borderId="22" xfId="1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5" fillId="5" borderId="19" xfId="6" applyFont="1" applyFill="1" applyBorder="1" applyAlignment="1">
      <alignment horizontal="center" vertical="center" wrapText="1"/>
    </xf>
    <xf numFmtId="166" fontId="14" fillId="4" borderId="5" xfId="1" applyNumberFormat="1" applyFont="1" applyFill="1" applyBorder="1" applyAlignment="1">
      <alignment horizontal="center" vertical="center" wrapText="1"/>
    </xf>
    <xf numFmtId="166" fontId="14" fillId="4" borderId="19" xfId="1" applyNumberFormat="1" applyFont="1" applyFill="1" applyBorder="1" applyAlignment="1">
      <alignment horizontal="center" vertical="center" wrapText="1"/>
    </xf>
    <xf numFmtId="0" fontId="15" fillId="7" borderId="20" xfId="6" applyFont="1" applyFill="1" applyBorder="1" applyAlignment="1">
      <alignment horizontal="center" vertical="center" wrapText="1"/>
    </xf>
    <xf numFmtId="0" fontId="15" fillId="7" borderId="21" xfId="6" applyFont="1" applyFill="1" applyBorder="1" applyAlignment="1">
      <alignment horizontal="center" vertical="center" wrapText="1"/>
    </xf>
    <xf numFmtId="0" fontId="15" fillId="7" borderId="22" xfId="6" applyFont="1" applyFill="1" applyBorder="1" applyAlignment="1">
      <alignment horizontal="center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166" fontId="14" fillId="0" borderId="19" xfId="1" applyNumberFormat="1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justify" vertical="center" wrapText="1"/>
    </xf>
    <xf numFmtId="0" fontId="14" fillId="2" borderId="0" xfId="6" applyFont="1" applyFill="1" applyBorder="1" applyAlignment="1">
      <alignment horizontal="justify" vertical="center" wrapText="1"/>
    </xf>
    <xf numFmtId="0" fontId="14" fillId="2" borderId="14" xfId="6" applyFont="1" applyFill="1" applyBorder="1" applyAlignment="1">
      <alignment horizontal="justify" vertical="center" wrapText="1"/>
    </xf>
    <xf numFmtId="0" fontId="14" fillId="2" borderId="13" xfId="6" applyFont="1" applyFill="1" applyBorder="1" applyAlignment="1">
      <alignment horizontal="justify" vertical="center"/>
    </xf>
    <xf numFmtId="0" fontId="14" fillId="2" borderId="0" xfId="6" applyFont="1" applyFill="1" applyBorder="1" applyAlignment="1">
      <alignment horizontal="justify" vertical="center"/>
    </xf>
    <xf numFmtId="0" fontId="14" fillId="2" borderId="14" xfId="6" applyFont="1" applyFill="1" applyBorder="1" applyAlignment="1">
      <alignment horizontal="justify" vertical="center"/>
    </xf>
    <xf numFmtId="0" fontId="14" fillId="2" borderId="13" xfId="6" applyFont="1" applyFill="1" applyBorder="1" applyAlignment="1">
      <alignment horizontal="left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4" fillId="2" borderId="14" xfId="6" applyFont="1" applyFill="1" applyBorder="1" applyAlignment="1">
      <alignment horizontal="left" vertical="center" wrapText="1"/>
    </xf>
    <xf numFmtId="0" fontId="14" fillId="2" borderId="15" xfId="6" applyFont="1" applyFill="1" applyBorder="1" applyAlignment="1">
      <alignment horizontal="center"/>
    </xf>
    <xf numFmtId="0" fontId="14" fillId="2" borderId="16" xfId="6" applyFont="1" applyFill="1" applyBorder="1" applyAlignment="1">
      <alignment horizontal="center"/>
    </xf>
    <xf numFmtId="0" fontId="14" fillId="2" borderId="17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horizontal="left" vertical="center"/>
    </xf>
    <xf numFmtId="0" fontId="14" fillId="2" borderId="14" xfId="6" applyFont="1" applyFill="1" applyBorder="1" applyAlignment="1">
      <alignment horizontal="left" vertical="center"/>
    </xf>
    <xf numFmtId="0" fontId="15" fillId="2" borderId="13" xfId="6" applyFont="1" applyFill="1" applyBorder="1" applyAlignment="1">
      <alignment horizontal="center"/>
    </xf>
    <xf numFmtId="0" fontId="15" fillId="2" borderId="0" xfId="6" applyFont="1" applyFill="1" applyBorder="1" applyAlignment="1">
      <alignment horizontal="center"/>
    </xf>
    <xf numFmtId="0" fontId="15" fillId="2" borderId="14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center"/>
    </xf>
    <xf numFmtId="0" fontId="14" fillId="2" borderId="0" xfId="6" applyFont="1" applyFill="1" applyBorder="1" applyAlignment="1">
      <alignment horizontal="center"/>
    </xf>
    <xf numFmtId="0" fontId="14" fillId="2" borderId="14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right" vertical="center"/>
    </xf>
    <xf numFmtId="0" fontId="14" fillId="2" borderId="0" xfId="6" applyFont="1" applyFill="1" applyBorder="1" applyAlignment="1">
      <alignment horizontal="right" vertical="center"/>
    </xf>
    <xf numFmtId="0" fontId="14" fillId="2" borderId="14" xfId="6" applyFont="1" applyFill="1" applyBorder="1" applyAlignment="1">
      <alignment horizontal="right" vertical="center"/>
    </xf>
    <xf numFmtId="0" fontId="15" fillId="5" borderId="23" xfId="6" applyFont="1" applyFill="1" applyBorder="1" applyAlignment="1">
      <alignment horizontal="center" vertical="center" wrapText="1"/>
    </xf>
    <xf numFmtId="0" fontId="15" fillId="5" borderId="24" xfId="6" applyFont="1" applyFill="1" applyBorder="1" applyAlignment="1">
      <alignment horizontal="center" vertical="center" wrapText="1"/>
    </xf>
    <xf numFmtId="0" fontId="15" fillId="5" borderId="25" xfId="6" applyFont="1" applyFill="1" applyBorder="1" applyAlignment="1">
      <alignment horizontal="center" vertical="center" wrapText="1"/>
    </xf>
    <xf numFmtId="0" fontId="15" fillId="4" borderId="13" xfId="6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5" fillId="4" borderId="14" xfId="6" applyFont="1" applyFill="1" applyBorder="1" applyAlignment="1">
      <alignment horizontal="center" vertical="center"/>
    </xf>
    <xf numFmtId="0" fontId="15" fillId="2" borderId="18" xfId="6" applyFont="1" applyFill="1" applyBorder="1" applyAlignment="1">
      <alignment horizontal="center" vertical="center"/>
    </xf>
    <xf numFmtId="0" fontId="15" fillId="2" borderId="5" xfId="6" applyFont="1" applyFill="1" applyBorder="1" applyAlignment="1">
      <alignment horizontal="center" vertical="center"/>
    </xf>
    <xf numFmtId="0" fontId="15" fillId="2" borderId="19" xfId="6" applyFont="1" applyFill="1" applyBorder="1" applyAlignment="1">
      <alignment horizontal="center" vertical="center"/>
    </xf>
    <xf numFmtId="0" fontId="14" fillId="2" borderId="20" xfId="6" applyFont="1" applyFill="1" applyBorder="1" applyAlignment="1">
      <alignment horizontal="justify" vertical="center" wrapText="1"/>
    </xf>
    <xf numFmtId="0" fontId="14" fillId="2" borderId="21" xfId="6" applyFont="1" applyFill="1" applyBorder="1" applyAlignment="1">
      <alignment horizontal="justify" vertical="center" wrapText="1"/>
    </xf>
    <xf numFmtId="0" fontId="14" fillId="2" borderId="22" xfId="6" applyFont="1" applyFill="1" applyBorder="1" applyAlignment="1">
      <alignment horizontal="justify" vertical="center" wrapText="1"/>
    </xf>
    <xf numFmtId="43" fontId="2" fillId="4" borderId="37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4" borderId="30" xfId="0" applyFont="1" applyFill="1" applyBorder="1" applyAlignment="1">
      <alignment horizontal="left" vertical="center" wrapText="1"/>
    </xf>
    <xf numFmtId="0" fontId="11" fillId="4" borderId="3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left" vertical="center" wrapText="1"/>
    </xf>
    <xf numFmtId="0" fontId="10" fillId="4" borderId="3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justify" vertical="center"/>
    </xf>
    <xf numFmtId="0" fontId="11" fillId="4" borderId="30" xfId="0" applyFont="1" applyFill="1" applyBorder="1" applyAlignment="1">
      <alignment horizontal="justify" vertical="center" wrapText="1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2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3" fillId="4" borderId="0" xfId="6" applyFont="1" applyFill="1" applyAlignment="1">
      <alignment horizontal="center"/>
    </xf>
    <xf numFmtId="0" fontId="3" fillId="4" borderId="0" xfId="6" applyFont="1" applyFill="1" applyBorder="1" applyAlignment="1">
      <alignment horizontal="center" vertical="center" textRotation="90" wrapText="1"/>
    </xf>
    <xf numFmtId="0" fontId="3" fillId="4" borderId="16" xfId="6" applyFont="1" applyFill="1" applyBorder="1" applyAlignment="1">
      <alignment horizontal="center" vertical="center" textRotation="90" wrapText="1"/>
    </xf>
    <xf numFmtId="0" fontId="14" fillId="2" borderId="18" xfId="8" applyFont="1" applyFill="1" applyBorder="1" applyAlignment="1">
      <alignment horizontal="center" vertical="center" wrapText="1"/>
    </xf>
    <xf numFmtId="0" fontId="14" fillId="2" borderId="5" xfId="8" applyFont="1" applyFill="1" applyBorder="1" applyAlignment="1">
      <alignment horizontal="center" vertical="center" wrapText="1"/>
    </xf>
    <xf numFmtId="0" fontId="15" fillId="6" borderId="18" xfId="8" applyFont="1" applyFill="1" applyBorder="1" applyAlignment="1">
      <alignment horizontal="center" vertical="center"/>
    </xf>
    <xf numFmtId="0" fontId="15" fillId="6" borderId="5" xfId="8" applyFont="1" applyFill="1" applyBorder="1" applyAlignment="1">
      <alignment horizontal="center" vertical="center"/>
    </xf>
    <xf numFmtId="0" fontId="14" fillId="4" borderId="15" xfId="8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5" fillId="3" borderId="19" xfId="8" applyFont="1" applyFill="1" applyBorder="1" applyAlignment="1">
      <alignment horizontal="center" vertical="center"/>
    </xf>
    <xf numFmtId="0" fontId="15" fillId="3" borderId="18" xfId="8" applyFont="1" applyFill="1" applyBorder="1" applyAlignment="1">
      <alignment horizontal="center" vertical="center" wrapText="1"/>
    </xf>
    <xf numFmtId="0" fontId="15" fillId="3" borderId="5" xfId="8" applyFont="1" applyFill="1" applyBorder="1" applyAlignment="1">
      <alignment horizontal="center" vertical="center" wrapText="1"/>
    </xf>
    <xf numFmtId="0" fontId="14" fillId="2" borderId="13" xfId="8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4" borderId="18" xfId="8" applyFont="1" applyFill="1" applyBorder="1" applyAlignment="1">
      <alignment horizontal="center" vertical="center" wrapText="1"/>
    </xf>
    <xf numFmtId="0" fontId="14" fillId="4" borderId="5" xfId="8" applyFont="1" applyFill="1" applyBorder="1" applyAlignment="1">
      <alignment horizontal="center" vertical="center" wrapText="1"/>
    </xf>
    <xf numFmtId="0" fontId="15" fillId="3" borderId="23" xfId="8" applyFont="1" applyFill="1" applyBorder="1" applyAlignment="1">
      <alignment horizontal="center" vertical="center"/>
    </xf>
    <xf numFmtId="0" fontId="15" fillId="3" borderId="24" xfId="8" applyFont="1" applyFill="1" applyBorder="1" applyAlignment="1">
      <alignment horizontal="center" vertical="center"/>
    </xf>
    <xf numFmtId="0" fontId="15" fillId="3" borderId="25" xfId="8" applyFont="1" applyFill="1" applyBorder="1" applyAlignment="1">
      <alignment horizontal="center" vertical="center"/>
    </xf>
    <xf numFmtId="169" fontId="1" fillId="0" borderId="31" xfId="2" applyNumberFormat="1" applyFont="1" applyFill="1" applyBorder="1" applyAlignment="1">
      <alignment horizontal="center" vertical="center" wrapText="1"/>
    </xf>
    <xf numFmtId="169" fontId="2" fillId="0" borderId="31" xfId="2" applyNumberFormat="1" applyFont="1" applyFill="1" applyBorder="1" applyAlignment="1">
      <alignment horizontal="center" vertical="center" wrapText="1"/>
    </xf>
  </cellXfs>
  <cellStyles count="22">
    <cellStyle name="Moeda" xfId="1" builtinId="4"/>
    <cellStyle name="Moeda 2" xfId="2"/>
    <cellStyle name="Moeda 2 2" xfId="3"/>
    <cellStyle name="Moeda 3" xfId="4"/>
    <cellStyle name="Moeda 4" xfId="5"/>
    <cellStyle name="Normal" xfId="0" builtinId="0"/>
    <cellStyle name="Normal 2" xfId="6"/>
    <cellStyle name="Normal 3" xfId="7"/>
    <cellStyle name="Normal 4" xfId="8"/>
    <cellStyle name="Porcentagem" xfId="9" builtinId="5"/>
    <cellStyle name="Porcentagem 2" xfId="10"/>
    <cellStyle name="Porcentagem 3" xfId="11"/>
    <cellStyle name="Porcentagem 4" xfId="12"/>
    <cellStyle name="Porcentagem 4 2" xfId="13"/>
    <cellStyle name="Porcentagem 4 2 2" xfId="14"/>
    <cellStyle name="Separador de milhares 2" xfId="15"/>
    <cellStyle name="Separador de milhares 2 2" xfId="16"/>
    <cellStyle name="Separador de milhares 3" xfId="17"/>
    <cellStyle name="Título 1 1" xfId="18"/>
    <cellStyle name="Título 5" xfId="19"/>
    <cellStyle name="Vírgula" xfId="20" builtinId="3"/>
    <cellStyle name="Vírgula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1"/>
  </sheetPr>
  <dimension ref="A1:AB64"/>
  <sheetViews>
    <sheetView showGridLines="0" tabSelected="1" view="pageBreakPreview" zoomScale="85" zoomScaleNormal="110" zoomScaleSheetLayoutView="85" workbookViewId="0">
      <selection activeCell="I19" sqref="I19"/>
    </sheetView>
  </sheetViews>
  <sheetFormatPr defaultRowHeight="15" x14ac:dyDescent="0.3"/>
  <cols>
    <col min="1" max="1" width="8" style="143" customWidth="1"/>
    <col min="2" max="2" width="88.140625" style="143" customWidth="1"/>
    <col min="3" max="3" width="12.7109375" style="143" customWidth="1"/>
    <col min="4" max="4" width="14.5703125" style="143" customWidth="1"/>
    <col min="5" max="5" width="16.42578125" style="143" customWidth="1"/>
    <col min="6" max="6" width="10" style="143" customWidth="1"/>
    <col min="7" max="7" width="10.5703125" style="143" customWidth="1"/>
    <col min="8" max="8" width="15.7109375" style="143" customWidth="1"/>
    <col min="9" max="9" width="20.85546875" style="167" customWidth="1"/>
    <col min="10" max="10" width="13.140625" style="168" customWidth="1"/>
    <col min="11" max="11" width="14.5703125" style="168" bestFit="1" customWidth="1"/>
    <col min="12" max="12" width="15.140625" style="168" customWidth="1"/>
    <col min="13" max="15" width="9.140625" style="168"/>
    <col min="16" max="16" width="17.42578125" style="168" customWidth="1"/>
    <col min="17" max="28" width="9.140625" style="168"/>
    <col min="29" max="16384" width="9.140625" style="143"/>
  </cols>
  <sheetData>
    <row r="1" spans="1:28" s="141" customFormat="1" ht="16.5" customHeight="1" x14ac:dyDescent="0.2">
      <c r="A1" s="352" t="s">
        <v>131</v>
      </c>
      <c r="B1" s="353"/>
      <c r="C1" s="353"/>
      <c r="D1" s="353"/>
      <c r="E1" s="353"/>
      <c r="F1" s="353"/>
      <c r="G1" s="354"/>
      <c r="H1" s="140"/>
      <c r="I1" s="140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</row>
    <row r="2" spans="1:28" s="141" customFormat="1" ht="15.75" customHeight="1" x14ac:dyDescent="0.2">
      <c r="A2" s="355" t="s">
        <v>192</v>
      </c>
      <c r="B2" s="356"/>
      <c r="C2" s="356"/>
      <c r="D2" s="356"/>
      <c r="E2" s="356"/>
      <c r="F2" s="356"/>
      <c r="G2" s="357"/>
      <c r="H2" s="145"/>
      <c r="I2" s="145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</row>
    <row r="3" spans="1:28" s="141" customFormat="1" ht="15.75" customHeight="1" x14ac:dyDescent="0.2">
      <c r="A3" s="355" t="s">
        <v>193</v>
      </c>
      <c r="B3" s="356"/>
      <c r="C3" s="356"/>
      <c r="D3" s="356"/>
      <c r="E3" s="356"/>
      <c r="F3" s="356"/>
      <c r="G3" s="357"/>
      <c r="H3" s="145"/>
      <c r="I3" s="145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</row>
    <row r="4" spans="1:28" s="141" customFormat="1" ht="15.75" customHeight="1" x14ac:dyDescent="0.2">
      <c r="A4" s="355" t="s">
        <v>194</v>
      </c>
      <c r="B4" s="356"/>
      <c r="C4" s="356"/>
      <c r="D4" s="356"/>
      <c r="E4" s="356"/>
      <c r="F4" s="356"/>
      <c r="G4" s="357"/>
      <c r="H4" s="145"/>
      <c r="I4" s="145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</row>
    <row r="5" spans="1:28" s="141" customFormat="1" x14ac:dyDescent="0.2">
      <c r="A5" s="358" t="s">
        <v>195</v>
      </c>
      <c r="B5" s="359"/>
      <c r="C5" s="359"/>
      <c r="D5" s="359" t="s">
        <v>196</v>
      </c>
      <c r="E5" s="359"/>
      <c r="F5" s="359"/>
      <c r="G5" s="360"/>
      <c r="H5" s="145"/>
      <c r="I5" s="145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</row>
    <row r="6" spans="1:28" s="141" customFormat="1" x14ac:dyDescent="0.2">
      <c r="A6" s="293" t="s">
        <v>48</v>
      </c>
      <c r="B6" s="294"/>
      <c r="C6" s="294"/>
      <c r="D6" s="294"/>
      <c r="E6" s="294"/>
      <c r="F6" s="294"/>
      <c r="G6" s="300"/>
      <c r="H6" s="146"/>
      <c r="I6" s="146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</row>
    <row r="7" spans="1:28" s="141" customFormat="1" ht="46.5" customHeight="1" x14ac:dyDescent="0.2">
      <c r="A7" s="361" t="s">
        <v>222</v>
      </c>
      <c r="B7" s="362"/>
      <c r="C7" s="362"/>
      <c r="D7" s="362"/>
      <c r="E7" s="362"/>
      <c r="F7" s="362"/>
      <c r="G7" s="363"/>
      <c r="H7" s="147"/>
      <c r="I7" s="147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</row>
    <row r="8" spans="1:28" s="141" customFormat="1" x14ac:dyDescent="0.2">
      <c r="A8" s="293" t="s">
        <v>46</v>
      </c>
      <c r="B8" s="294"/>
      <c r="C8" s="294"/>
      <c r="D8" s="294"/>
      <c r="E8" s="294"/>
      <c r="F8" s="294"/>
      <c r="G8" s="300"/>
      <c r="H8" s="146"/>
      <c r="I8" s="146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</row>
    <row r="9" spans="1:28" s="141" customFormat="1" ht="30.75" customHeight="1" x14ac:dyDescent="0.2">
      <c r="A9" s="328" t="s">
        <v>40</v>
      </c>
      <c r="B9" s="329"/>
      <c r="C9" s="329"/>
      <c r="D9" s="329"/>
      <c r="E9" s="329"/>
      <c r="F9" s="329"/>
      <c r="G9" s="330"/>
      <c r="H9" s="147"/>
      <c r="I9" s="147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</row>
    <row r="10" spans="1:28" s="141" customFormat="1" x14ac:dyDescent="0.2">
      <c r="A10" s="293" t="s">
        <v>47</v>
      </c>
      <c r="B10" s="294"/>
      <c r="C10" s="294"/>
      <c r="D10" s="294"/>
      <c r="E10" s="294"/>
      <c r="F10" s="294"/>
      <c r="G10" s="300"/>
      <c r="H10" s="146"/>
      <c r="I10" s="146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</row>
    <row r="11" spans="1:28" s="141" customFormat="1" ht="13.5" customHeight="1" x14ac:dyDescent="0.2">
      <c r="A11" s="282"/>
      <c r="B11" s="283"/>
      <c r="C11" s="283"/>
      <c r="D11" s="283"/>
      <c r="E11" s="284"/>
      <c r="F11" s="284"/>
      <c r="G11" s="285"/>
      <c r="H11" s="154"/>
      <c r="I11" s="155"/>
      <c r="J11" s="190"/>
      <c r="K11" s="190"/>
      <c r="L11" s="190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</row>
    <row r="12" spans="1:28" s="141" customFormat="1" ht="21.75" customHeight="1" x14ac:dyDescent="0.2">
      <c r="A12" s="323" t="s">
        <v>319</v>
      </c>
      <c r="B12" s="324"/>
      <c r="C12" s="324"/>
      <c r="D12" s="324"/>
      <c r="E12" s="324"/>
      <c r="F12" s="324"/>
      <c r="G12" s="325"/>
      <c r="H12" s="225"/>
      <c r="I12" s="225"/>
      <c r="J12" s="224"/>
      <c r="K12" s="224"/>
      <c r="L12" s="22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</row>
    <row r="13" spans="1:28" s="141" customFormat="1" ht="28.5" customHeight="1" x14ac:dyDescent="0.2">
      <c r="A13" s="177" t="s">
        <v>42</v>
      </c>
      <c r="B13" s="208" t="s">
        <v>43</v>
      </c>
      <c r="C13" s="208" t="s">
        <v>144</v>
      </c>
      <c r="D13" s="208" t="s">
        <v>44</v>
      </c>
      <c r="E13" s="208" t="s">
        <v>45</v>
      </c>
      <c r="F13" s="319" t="s">
        <v>53</v>
      </c>
      <c r="G13" s="320"/>
      <c r="H13" s="148"/>
      <c r="I13" s="171"/>
      <c r="J13" s="149"/>
      <c r="K13" s="149"/>
      <c r="L13" s="149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</row>
    <row r="14" spans="1:28" s="141" customFormat="1" ht="30" hidden="1" x14ac:dyDescent="0.2">
      <c r="A14" s="178">
        <v>1</v>
      </c>
      <c r="B14" s="173" t="s">
        <v>225</v>
      </c>
      <c r="C14" s="150">
        <v>0</v>
      </c>
      <c r="D14" s="151">
        <f>'44 Diurno Desarm '!J134</f>
        <v>5632.8</v>
      </c>
      <c r="E14" s="151">
        <f>ROUND(C14*D14,2)</f>
        <v>0</v>
      </c>
      <c r="F14" s="311">
        <f>ROUND(E14*12,2)</f>
        <v>0</v>
      </c>
      <c r="G14" s="312"/>
      <c r="H14" s="152"/>
      <c r="I14" s="219"/>
      <c r="J14" s="247"/>
      <c r="K14" s="220"/>
      <c r="L14" s="153"/>
      <c r="M14" s="144"/>
      <c r="N14" s="144"/>
      <c r="O14" s="144"/>
      <c r="P14" s="221">
        <v>4659.7</v>
      </c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</row>
    <row r="15" spans="1:28" s="141" customFormat="1" ht="30" hidden="1" x14ac:dyDescent="0.2">
      <c r="A15" s="268">
        <v>2</v>
      </c>
      <c r="B15" s="267" t="s">
        <v>226</v>
      </c>
      <c r="C15" s="266">
        <v>0</v>
      </c>
      <c r="D15" s="269">
        <f>'12 x 36 Diurno Desarm'!J134</f>
        <v>9985.44</v>
      </c>
      <c r="E15" s="269">
        <f>(C15*D15)</f>
        <v>0</v>
      </c>
      <c r="F15" s="321">
        <f t="shared" ref="F15:F25" si="0">ROUND(E15*12,2)</f>
        <v>0</v>
      </c>
      <c r="G15" s="322"/>
      <c r="H15" s="152"/>
      <c r="I15" s="219"/>
      <c r="J15" s="247"/>
      <c r="K15" s="220"/>
      <c r="L15" s="153"/>
      <c r="M15" s="144"/>
      <c r="N15" s="144"/>
      <c r="O15" s="144"/>
      <c r="P15" s="221">
        <v>49536.36</v>
      </c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</row>
    <row r="16" spans="1:28" s="141" customFormat="1" ht="30" hidden="1" x14ac:dyDescent="0.2">
      <c r="A16" s="268">
        <v>3</v>
      </c>
      <c r="B16" s="267" t="s">
        <v>227</v>
      </c>
      <c r="C16" s="266">
        <v>0</v>
      </c>
      <c r="D16" s="269">
        <f>'12 x 36 Noturno Desarm'!J134</f>
        <v>12256.54</v>
      </c>
      <c r="E16" s="269">
        <f t="shared" ref="E16:E25" si="1">ROUND(C16*D16,2)</f>
        <v>0</v>
      </c>
      <c r="F16" s="321">
        <f t="shared" si="0"/>
        <v>0</v>
      </c>
      <c r="G16" s="322"/>
      <c r="H16" s="152"/>
      <c r="I16" s="219"/>
      <c r="J16" s="247"/>
      <c r="K16" s="220"/>
      <c r="L16" s="153"/>
      <c r="M16" s="144"/>
      <c r="N16" s="144"/>
      <c r="O16" s="144"/>
      <c r="P16" s="221">
        <v>60780.240000000005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</row>
    <row r="17" spans="1:28" s="141" customFormat="1" ht="31.5" hidden="1" x14ac:dyDescent="0.2">
      <c r="A17" s="268">
        <v>4</v>
      </c>
      <c r="B17" s="270" t="s">
        <v>313</v>
      </c>
      <c r="C17" s="271">
        <v>0</v>
      </c>
      <c r="D17" s="269">
        <f>'12 x 36 Diurno Arm'!J134</f>
        <v>10020.82</v>
      </c>
      <c r="E17" s="269">
        <f t="shared" si="1"/>
        <v>0</v>
      </c>
      <c r="F17" s="321">
        <f t="shared" si="0"/>
        <v>0</v>
      </c>
      <c r="G17" s="322"/>
      <c r="H17" s="152"/>
      <c r="I17" s="219"/>
      <c r="J17" s="247"/>
      <c r="K17" s="220"/>
      <c r="L17" s="153"/>
      <c r="M17" s="144"/>
      <c r="N17" s="144"/>
      <c r="O17" s="144"/>
      <c r="P17" s="221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</row>
    <row r="18" spans="1:28" s="141" customFormat="1" ht="30" x14ac:dyDescent="0.2">
      <c r="A18" s="250">
        <v>5</v>
      </c>
      <c r="B18" s="251" t="s">
        <v>228</v>
      </c>
      <c r="C18" s="246">
        <v>1</v>
      </c>
      <c r="D18" s="286">
        <f>'12 x 36 Diurno Desarm- 2ª a Sáb'!J134</f>
        <v>4892.0600000000004</v>
      </c>
      <c r="E18" s="286">
        <f t="shared" si="1"/>
        <v>4892.0600000000004</v>
      </c>
      <c r="F18" s="326">
        <f t="shared" si="0"/>
        <v>58704.72</v>
      </c>
      <c r="G18" s="327"/>
      <c r="H18" s="152"/>
      <c r="I18" s="219"/>
      <c r="J18" s="247"/>
      <c r="K18" s="220"/>
      <c r="L18" s="153"/>
      <c r="M18" s="144"/>
      <c r="N18" s="144"/>
      <c r="O18" s="144"/>
      <c r="P18" s="221">
        <v>8088.68</v>
      </c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</row>
    <row r="19" spans="1:28" s="141" customFormat="1" ht="30" x14ac:dyDescent="0.2">
      <c r="A19" s="250" t="s">
        <v>320</v>
      </c>
      <c r="B19" s="251" t="s">
        <v>228</v>
      </c>
      <c r="C19" s="246">
        <v>1</v>
      </c>
      <c r="D19" s="286">
        <f>'12x36 Noturno Desarm- 2ª a Sáb'!J134</f>
        <v>5838.39</v>
      </c>
      <c r="E19" s="286">
        <f t="shared" ref="E19" si="2">ROUND(C19*D19,2)</f>
        <v>5838.39</v>
      </c>
      <c r="F19" s="326">
        <f t="shared" ref="F19" si="3">ROUND(E19*12,2)</f>
        <v>70060.679999999993</v>
      </c>
      <c r="G19" s="327"/>
      <c r="H19" s="152"/>
      <c r="I19" s="219"/>
      <c r="J19" s="247"/>
      <c r="K19" s="220"/>
      <c r="L19" s="153"/>
      <c r="M19" s="144"/>
      <c r="N19" s="144"/>
      <c r="O19" s="144"/>
      <c r="P19" s="221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</row>
    <row r="20" spans="1:28" s="141" customFormat="1" ht="30" hidden="1" x14ac:dyDescent="0.2">
      <c r="A20" s="268">
        <v>6</v>
      </c>
      <c r="B20" s="267" t="s">
        <v>229</v>
      </c>
      <c r="C20" s="266">
        <v>0</v>
      </c>
      <c r="D20" s="269">
        <f>'6 hs Diurno CFTV'!J134</f>
        <v>4509.6099999999997</v>
      </c>
      <c r="E20" s="269">
        <f t="shared" si="1"/>
        <v>0</v>
      </c>
      <c r="F20" s="321">
        <f t="shared" si="0"/>
        <v>0</v>
      </c>
      <c r="G20" s="322"/>
      <c r="H20" s="152"/>
      <c r="I20" s="219"/>
      <c r="J20" s="247"/>
      <c r="K20" s="220"/>
      <c r="L20" s="153"/>
      <c r="M20" s="144"/>
      <c r="N20" s="144">
        <v>3747.41</v>
      </c>
      <c r="O20" s="144"/>
      <c r="P20" s="221">
        <f>K20*N20</f>
        <v>0</v>
      </c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</row>
    <row r="21" spans="1:28" s="141" customFormat="1" ht="30" hidden="1" x14ac:dyDescent="0.2">
      <c r="A21" s="268">
        <v>7</v>
      </c>
      <c r="B21" s="267" t="s">
        <v>230</v>
      </c>
      <c r="C21" s="266">
        <v>0</v>
      </c>
      <c r="D21" s="269">
        <f>'6 hs Noturno CFTV'!J134</f>
        <v>5645.18</v>
      </c>
      <c r="E21" s="269">
        <f t="shared" si="1"/>
        <v>0</v>
      </c>
      <c r="F21" s="321">
        <f t="shared" si="0"/>
        <v>0</v>
      </c>
      <c r="G21" s="322"/>
      <c r="H21" s="152"/>
      <c r="I21" s="219"/>
      <c r="J21" s="247"/>
      <c r="K21" s="220"/>
      <c r="L21" s="153"/>
      <c r="M21" s="144"/>
      <c r="N21" s="144">
        <v>4684.4399999999996</v>
      </c>
      <c r="O21" s="144"/>
      <c r="P21" s="221">
        <f>K21*N21</f>
        <v>0</v>
      </c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</row>
    <row r="22" spans="1:28" s="141" customFormat="1" ht="30" hidden="1" x14ac:dyDescent="0.2">
      <c r="A22" s="268">
        <v>8</v>
      </c>
      <c r="B22" s="267" t="s">
        <v>233</v>
      </c>
      <c r="C22" s="266">
        <v>0</v>
      </c>
      <c r="D22" s="269">
        <f>'12 x 36 Diurno Desarm'!J134</f>
        <v>9985.44</v>
      </c>
      <c r="E22" s="269">
        <f t="shared" si="1"/>
        <v>0</v>
      </c>
      <c r="F22" s="321">
        <f t="shared" si="0"/>
        <v>0</v>
      </c>
      <c r="G22" s="322"/>
      <c r="H22" s="313" t="s">
        <v>219</v>
      </c>
      <c r="I22" s="219"/>
      <c r="J22" s="247"/>
      <c r="K22" s="153"/>
      <c r="L22" s="153"/>
      <c r="M22" s="144"/>
      <c r="N22" s="144"/>
      <c r="O22" s="144"/>
      <c r="P22" s="221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</row>
    <row r="23" spans="1:28" s="141" customFormat="1" ht="30" hidden="1" x14ac:dyDescent="0.2">
      <c r="A23" s="268">
        <v>9</v>
      </c>
      <c r="B23" s="267" t="s">
        <v>234</v>
      </c>
      <c r="C23" s="266">
        <v>0</v>
      </c>
      <c r="D23" s="269">
        <f>'12 x 36 Noturno Desarm'!J134</f>
        <v>12256.54</v>
      </c>
      <c r="E23" s="269">
        <f t="shared" si="1"/>
        <v>0</v>
      </c>
      <c r="F23" s="321">
        <f t="shared" si="0"/>
        <v>0</v>
      </c>
      <c r="G23" s="322"/>
      <c r="H23" s="313"/>
      <c r="I23" s="219"/>
      <c r="J23" s="247"/>
      <c r="K23" s="153"/>
      <c r="L23" s="153"/>
      <c r="M23" s="144"/>
      <c r="N23" s="144"/>
      <c r="O23" s="144"/>
      <c r="P23" s="221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</row>
    <row r="24" spans="1:28" s="141" customFormat="1" ht="30" hidden="1" x14ac:dyDescent="0.2">
      <c r="A24" s="178">
        <v>10</v>
      </c>
      <c r="B24" s="174" t="s">
        <v>235</v>
      </c>
      <c r="C24" s="246">
        <v>0</v>
      </c>
      <c r="D24" s="151">
        <f>'12 x 36 Diurno Arm'!J134</f>
        <v>10020.82</v>
      </c>
      <c r="E24" s="245">
        <f t="shared" si="1"/>
        <v>0</v>
      </c>
      <c r="F24" s="311">
        <f t="shared" si="0"/>
        <v>0</v>
      </c>
      <c r="G24" s="312"/>
      <c r="H24" s="313"/>
      <c r="I24" s="219"/>
      <c r="J24" s="247"/>
      <c r="K24" s="220"/>
      <c r="L24" s="153"/>
      <c r="M24" s="144"/>
      <c r="N24" s="144"/>
      <c r="O24" s="144"/>
      <c r="P24" s="221">
        <v>16576.439999999999</v>
      </c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</row>
    <row r="25" spans="1:28" s="141" customFormat="1" ht="30" hidden="1" x14ac:dyDescent="0.2">
      <c r="A25" s="178">
        <v>11</v>
      </c>
      <c r="B25" s="174" t="s">
        <v>236</v>
      </c>
      <c r="C25" s="246">
        <v>0</v>
      </c>
      <c r="D25" s="151">
        <f>'12 x 36 Noturno Arm'!J134</f>
        <v>12291.92</v>
      </c>
      <c r="E25" s="151">
        <f t="shared" si="1"/>
        <v>0</v>
      </c>
      <c r="F25" s="311">
        <f t="shared" si="0"/>
        <v>0</v>
      </c>
      <c r="G25" s="312"/>
      <c r="H25" s="313"/>
      <c r="I25" s="219"/>
      <c r="J25" s="247"/>
      <c r="K25" s="220"/>
      <c r="L25" s="153"/>
      <c r="M25" s="144"/>
      <c r="N25" s="144"/>
      <c r="O25" s="144"/>
      <c r="P25" s="221">
        <v>20324.400000000001</v>
      </c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</row>
    <row r="26" spans="1:28" s="141" customFormat="1" x14ac:dyDescent="0.2">
      <c r="A26" s="314"/>
      <c r="B26" s="315"/>
      <c r="C26" s="150">
        <f>SUM(C14:C25)</f>
        <v>2</v>
      </c>
      <c r="D26" s="316"/>
      <c r="E26" s="317"/>
      <c r="F26" s="317"/>
      <c r="G26" s="318"/>
      <c r="H26" s="152"/>
      <c r="I26" s="219"/>
      <c r="J26" s="222"/>
      <c r="K26" s="223"/>
      <c r="L26" s="153"/>
      <c r="M26" s="144"/>
      <c r="N26" s="144"/>
      <c r="O26" s="144"/>
      <c r="P26" s="221">
        <f>SUM(P14:P25)</f>
        <v>159965.82</v>
      </c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</row>
    <row r="27" spans="1:28" s="141" customFormat="1" ht="13.5" customHeight="1" x14ac:dyDescent="0.2">
      <c r="A27" s="293" t="s">
        <v>54</v>
      </c>
      <c r="B27" s="294"/>
      <c r="C27" s="294"/>
      <c r="D27" s="294"/>
      <c r="E27" s="244">
        <f>ROUND(SUM(E14:E25),2)</f>
        <v>10730.45</v>
      </c>
      <c r="F27" s="295">
        <f>ROUND(SUM(F14:G25),2)</f>
        <v>128765.4</v>
      </c>
      <c r="G27" s="296"/>
      <c r="H27" s="280"/>
      <c r="I27" s="155"/>
      <c r="J27" s="155"/>
      <c r="K27" s="155"/>
      <c r="L27" s="155"/>
      <c r="M27" s="155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</row>
    <row r="28" spans="1:28" s="141" customFormat="1" ht="13.5" customHeight="1" x14ac:dyDescent="0.2">
      <c r="A28" s="297"/>
      <c r="B28" s="298"/>
      <c r="C28" s="298"/>
      <c r="D28" s="298"/>
      <c r="E28" s="298"/>
      <c r="F28" s="298"/>
      <c r="G28" s="299"/>
      <c r="H28" s="154"/>
      <c r="I28" s="155"/>
      <c r="J28" s="190"/>
      <c r="K28" s="190"/>
      <c r="L28" s="190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</row>
    <row r="29" spans="1:28" s="141" customFormat="1" ht="13.5" customHeight="1" x14ac:dyDescent="0.2">
      <c r="A29" s="293" t="s">
        <v>260</v>
      </c>
      <c r="B29" s="294"/>
      <c r="C29" s="294"/>
      <c r="D29" s="294"/>
      <c r="E29" s="294"/>
      <c r="F29" s="294"/>
      <c r="G29" s="300"/>
      <c r="H29" s="154"/>
      <c r="I29" s="155"/>
      <c r="J29" s="190"/>
      <c r="K29" s="190"/>
      <c r="L29" s="190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</row>
    <row r="30" spans="1:28" s="141" customFormat="1" ht="13.5" customHeight="1" x14ac:dyDescent="0.2">
      <c r="A30" s="301" t="s">
        <v>261</v>
      </c>
      <c r="B30" s="302"/>
      <c r="C30" s="302"/>
      <c r="D30" s="302"/>
      <c r="E30" s="303">
        <f>E27</f>
        <v>10730.45</v>
      </c>
      <c r="F30" s="303"/>
      <c r="G30" s="304"/>
      <c r="H30" s="154"/>
      <c r="I30" s="155"/>
      <c r="J30" s="190"/>
      <c r="K30" s="190"/>
      <c r="L30" s="190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8" s="141" customFormat="1" ht="13.5" customHeight="1" x14ac:dyDescent="0.2">
      <c r="A31" s="301" t="s">
        <v>262</v>
      </c>
      <c r="B31" s="302"/>
      <c r="C31" s="302"/>
      <c r="D31" s="302"/>
      <c r="E31" s="305">
        <v>12</v>
      </c>
      <c r="F31" s="305"/>
      <c r="G31" s="306"/>
      <c r="H31" s="154"/>
      <c r="I31" s="155"/>
      <c r="J31" s="190"/>
      <c r="K31" s="190"/>
      <c r="L31" s="190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</row>
    <row r="32" spans="1:28" s="141" customFormat="1" ht="13.5" customHeight="1" x14ac:dyDescent="0.2">
      <c r="A32" s="307" t="s">
        <v>263</v>
      </c>
      <c r="B32" s="308"/>
      <c r="C32" s="308"/>
      <c r="D32" s="308"/>
      <c r="E32" s="309">
        <f>ROUND(E30*E31,2)</f>
        <v>128765.4</v>
      </c>
      <c r="F32" s="309"/>
      <c r="G32" s="310"/>
      <c r="H32" s="154"/>
      <c r="I32" s="155"/>
      <c r="J32" s="190"/>
      <c r="K32" s="190"/>
      <c r="L32" s="190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</row>
    <row r="33" spans="1:28" s="141" customFormat="1" ht="39" customHeight="1" x14ac:dyDescent="0.2">
      <c r="A33" s="331" t="s">
        <v>224</v>
      </c>
      <c r="B33" s="332"/>
      <c r="C33" s="332"/>
      <c r="D33" s="332"/>
      <c r="E33" s="332"/>
      <c r="F33" s="332"/>
      <c r="G33" s="333"/>
      <c r="H33" s="157"/>
      <c r="I33" s="156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</row>
    <row r="34" spans="1:28" s="141" customFormat="1" hidden="1" x14ac:dyDescent="0.2">
      <c r="A34" s="331" t="s">
        <v>231</v>
      </c>
      <c r="B34" s="332"/>
      <c r="C34" s="332"/>
      <c r="D34" s="332"/>
      <c r="E34" s="332"/>
      <c r="F34" s="332"/>
      <c r="G34" s="333"/>
      <c r="H34" s="156"/>
      <c r="I34" s="156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</row>
    <row r="35" spans="1:28" s="142" customFormat="1" ht="43.5" hidden="1" customHeight="1" x14ac:dyDescent="0.2">
      <c r="A35" s="328" t="s">
        <v>223</v>
      </c>
      <c r="B35" s="329"/>
      <c r="C35" s="329"/>
      <c r="D35" s="329"/>
      <c r="E35" s="329"/>
      <c r="F35" s="329"/>
      <c r="G35" s="330"/>
      <c r="H35" s="147"/>
      <c r="I35" s="147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</row>
    <row r="36" spans="1:28" s="142" customFormat="1" ht="20.25" hidden="1" customHeight="1" x14ac:dyDescent="0.2">
      <c r="A36" s="334" t="s">
        <v>130</v>
      </c>
      <c r="B36" s="335"/>
      <c r="C36" s="335"/>
      <c r="D36" s="335"/>
      <c r="E36" s="335"/>
      <c r="F36" s="335"/>
      <c r="G36" s="336"/>
      <c r="H36" s="159"/>
      <c r="I36" s="147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</row>
    <row r="37" spans="1:28" s="142" customFormat="1" ht="18" hidden="1" customHeight="1" x14ac:dyDescent="0.2">
      <c r="A37" s="328" t="s">
        <v>51</v>
      </c>
      <c r="B37" s="329"/>
      <c r="C37" s="329"/>
      <c r="D37" s="329"/>
      <c r="E37" s="329"/>
      <c r="F37" s="329"/>
      <c r="G37" s="330"/>
      <c r="H37" s="147"/>
      <c r="I37" s="147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</row>
    <row r="38" spans="1:28" s="142" customFormat="1" hidden="1" x14ac:dyDescent="0.2">
      <c r="A38" s="175"/>
      <c r="B38" s="147"/>
      <c r="C38" s="147"/>
      <c r="D38" s="147"/>
      <c r="E38" s="147"/>
      <c r="F38" s="147"/>
      <c r="G38" s="176"/>
      <c r="H38" s="147"/>
      <c r="I38" s="147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</row>
    <row r="39" spans="1:28" s="142" customFormat="1" hidden="1" x14ac:dyDescent="0.2">
      <c r="A39" s="179" t="s">
        <v>148</v>
      </c>
      <c r="B39" s="147"/>
      <c r="C39" s="147"/>
      <c r="D39" s="147"/>
      <c r="E39" s="147"/>
      <c r="F39" s="147"/>
      <c r="G39" s="176"/>
      <c r="H39" s="147"/>
      <c r="I39" s="147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</row>
    <row r="40" spans="1:28" s="141" customFormat="1" hidden="1" x14ac:dyDescent="0.2">
      <c r="A40" s="179" t="s">
        <v>197</v>
      </c>
      <c r="B40" s="160"/>
      <c r="C40" s="160"/>
      <c r="D40" s="160"/>
      <c r="E40" s="160"/>
      <c r="F40" s="160"/>
      <c r="G40" s="180"/>
      <c r="H40" s="160"/>
      <c r="I40" s="160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</row>
    <row r="41" spans="1:28" s="141" customFormat="1" hidden="1" x14ac:dyDescent="0.2">
      <c r="A41" s="179" t="s">
        <v>198</v>
      </c>
      <c r="B41" s="160"/>
      <c r="C41" s="160"/>
      <c r="D41" s="160"/>
      <c r="E41" s="160"/>
      <c r="F41" s="160"/>
      <c r="G41" s="180"/>
      <c r="H41" s="160"/>
      <c r="I41" s="160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</row>
    <row r="42" spans="1:28" s="141" customFormat="1" hidden="1" x14ac:dyDescent="0.2">
      <c r="A42" s="179" t="s">
        <v>199</v>
      </c>
      <c r="B42" s="160"/>
      <c r="C42" s="160"/>
      <c r="D42" s="160"/>
      <c r="E42" s="160"/>
      <c r="F42" s="160"/>
      <c r="G42" s="180"/>
      <c r="H42" s="160"/>
      <c r="I42" s="160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</row>
    <row r="43" spans="1:28" s="141" customFormat="1" hidden="1" x14ac:dyDescent="0.2">
      <c r="A43" s="179" t="s">
        <v>200</v>
      </c>
      <c r="B43" s="160"/>
      <c r="C43" s="160"/>
      <c r="D43" s="160"/>
      <c r="E43" s="160"/>
      <c r="F43" s="160"/>
      <c r="G43" s="180"/>
      <c r="H43" s="160"/>
      <c r="I43" s="160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</row>
    <row r="44" spans="1:28" s="141" customFormat="1" hidden="1" x14ac:dyDescent="0.2">
      <c r="A44" s="179" t="s">
        <v>201</v>
      </c>
      <c r="B44" s="160"/>
      <c r="C44" s="160"/>
      <c r="D44" s="160"/>
      <c r="E44" s="160"/>
      <c r="F44" s="160"/>
      <c r="G44" s="180"/>
      <c r="H44" s="160"/>
      <c r="I44" s="160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</row>
    <row r="45" spans="1:28" s="142" customFormat="1" ht="16.5" hidden="1" customHeight="1" x14ac:dyDescent="0.2">
      <c r="A45" s="179" t="s">
        <v>188</v>
      </c>
      <c r="B45" s="161"/>
      <c r="C45" s="161"/>
      <c r="D45" s="161"/>
      <c r="E45" s="161"/>
      <c r="F45" s="161"/>
      <c r="G45" s="181"/>
      <c r="H45" s="161"/>
      <c r="I45" s="161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</row>
    <row r="46" spans="1:28" s="141" customFormat="1" hidden="1" x14ac:dyDescent="0.2">
      <c r="A46" s="179" t="s">
        <v>202</v>
      </c>
      <c r="B46" s="160"/>
      <c r="C46" s="160"/>
      <c r="D46" s="160"/>
      <c r="E46" s="160"/>
      <c r="F46" s="160"/>
      <c r="G46" s="180"/>
      <c r="H46" s="160"/>
      <c r="I46" s="160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</row>
    <row r="47" spans="1:28" s="141" customFormat="1" hidden="1" x14ac:dyDescent="0.2">
      <c r="A47" s="179"/>
      <c r="B47" s="160"/>
      <c r="C47" s="160"/>
      <c r="D47" s="160"/>
      <c r="E47" s="160"/>
      <c r="F47" s="160"/>
      <c r="G47" s="180"/>
      <c r="H47" s="160"/>
      <c r="I47" s="160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</row>
    <row r="48" spans="1:28" s="141" customFormat="1" hidden="1" x14ac:dyDescent="0.2">
      <c r="A48" s="179" t="s">
        <v>52</v>
      </c>
      <c r="B48" s="160"/>
      <c r="C48" s="160"/>
      <c r="D48" s="160"/>
      <c r="E48" s="160"/>
      <c r="F48" s="160"/>
      <c r="G48" s="180"/>
      <c r="H48" s="160"/>
      <c r="I48" s="160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</row>
    <row r="49" spans="1:28" s="141" customFormat="1" hidden="1" x14ac:dyDescent="0.2">
      <c r="A49" s="179" t="s">
        <v>203</v>
      </c>
      <c r="B49" s="160"/>
      <c r="C49" s="160"/>
      <c r="D49" s="160"/>
      <c r="E49" s="160"/>
      <c r="F49" s="160"/>
      <c r="G49" s="180"/>
      <c r="H49" s="160"/>
      <c r="I49" s="160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</row>
    <row r="50" spans="1:28" s="141" customFormat="1" hidden="1" x14ac:dyDescent="0.2">
      <c r="A50" s="179" t="s">
        <v>204</v>
      </c>
      <c r="B50" s="160"/>
      <c r="C50" s="160"/>
      <c r="D50" s="160"/>
      <c r="E50" s="160"/>
      <c r="F50" s="160"/>
      <c r="G50" s="180"/>
      <c r="H50" s="160"/>
      <c r="I50" s="160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</row>
    <row r="51" spans="1:28" s="141" customFormat="1" hidden="1" x14ac:dyDescent="0.2">
      <c r="A51" s="179" t="s">
        <v>205</v>
      </c>
      <c r="B51" s="160"/>
      <c r="C51" s="160"/>
      <c r="D51" s="160"/>
      <c r="E51" s="160"/>
      <c r="F51" s="160"/>
      <c r="G51" s="180"/>
      <c r="H51" s="160"/>
      <c r="I51" s="160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</row>
    <row r="52" spans="1:28" s="141" customFormat="1" hidden="1" x14ac:dyDescent="0.2">
      <c r="A52" s="179" t="s">
        <v>206</v>
      </c>
      <c r="B52" s="160"/>
      <c r="C52" s="160"/>
      <c r="D52" s="160"/>
      <c r="E52" s="160"/>
      <c r="F52" s="160"/>
      <c r="G52" s="180"/>
      <c r="H52" s="160"/>
      <c r="I52" s="160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</row>
    <row r="53" spans="1:28" s="141" customFormat="1" hidden="1" x14ac:dyDescent="0.2">
      <c r="A53" s="179" t="s">
        <v>207</v>
      </c>
      <c r="B53" s="160"/>
      <c r="C53" s="160"/>
      <c r="D53" s="160"/>
      <c r="E53" s="160"/>
      <c r="F53" s="160"/>
      <c r="G53" s="180"/>
      <c r="H53" s="160"/>
      <c r="I53" s="160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</row>
    <row r="54" spans="1:28" s="142" customFormat="1" ht="16.5" hidden="1" customHeight="1" x14ac:dyDescent="0.2">
      <c r="A54" s="182" t="s">
        <v>208</v>
      </c>
      <c r="B54" s="161"/>
      <c r="C54" s="161"/>
      <c r="D54" s="161"/>
      <c r="E54" s="161"/>
      <c r="F54" s="161"/>
      <c r="G54" s="181"/>
      <c r="H54" s="161"/>
      <c r="I54" s="161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</row>
    <row r="55" spans="1:28" s="141" customFormat="1" hidden="1" x14ac:dyDescent="0.2">
      <c r="A55" s="179" t="s">
        <v>209</v>
      </c>
      <c r="B55" s="160"/>
      <c r="C55" s="160"/>
      <c r="D55" s="160"/>
      <c r="E55" s="160"/>
      <c r="F55" s="160"/>
      <c r="G55" s="180"/>
      <c r="H55" s="160"/>
      <c r="I55" s="160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</row>
    <row r="56" spans="1:28" s="141" customFormat="1" hidden="1" x14ac:dyDescent="0.2">
      <c r="A56" s="179" t="s">
        <v>200</v>
      </c>
      <c r="B56" s="160"/>
      <c r="C56" s="160"/>
      <c r="D56" s="160"/>
      <c r="E56" s="160"/>
      <c r="F56" s="160"/>
      <c r="G56" s="180"/>
      <c r="H56" s="160"/>
      <c r="I56" s="160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</row>
    <row r="57" spans="1:28" s="142" customFormat="1" ht="16.5" hidden="1" customHeight="1" x14ac:dyDescent="0.2">
      <c r="A57" s="179" t="s">
        <v>210</v>
      </c>
      <c r="B57" s="161"/>
      <c r="C57" s="161"/>
      <c r="D57" s="161"/>
      <c r="E57" s="161"/>
      <c r="F57" s="161"/>
      <c r="G57" s="181"/>
      <c r="H57" s="161"/>
      <c r="I57" s="161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</row>
    <row r="58" spans="1:28" s="142" customFormat="1" x14ac:dyDescent="0.2">
      <c r="A58" s="340"/>
      <c r="B58" s="341"/>
      <c r="C58" s="341"/>
      <c r="D58" s="341"/>
      <c r="E58" s="341"/>
      <c r="F58" s="341"/>
      <c r="G58" s="342"/>
      <c r="H58" s="162"/>
      <c r="I58" s="162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</row>
    <row r="59" spans="1:28" s="142" customFormat="1" x14ac:dyDescent="0.2">
      <c r="A59" s="349" t="s">
        <v>232</v>
      </c>
      <c r="B59" s="350"/>
      <c r="C59" s="350"/>
      <c r="D59" s="350"/>
      <c r="E59" s="350"/>
      <c r="F59" s="350"/>
      <c r="G59" s="351"/>
      <c r="H59" s="163"/>
      <c r="I59" s="163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</row>
    <row r="60" spans="1:28" s="141" customFormat="1" x14ac:dyDescent="0.3">
      <c r="A60" s="183"/>
      <c r="B60" s="164"/>
      <c r="C60" s="164"/>
      <c r="D60" s="164"/>
      <c r="E60" s="164"/>
      <c r="F60" s="164"/>
      <c r="G60" s="184"/>
      <c r="H60" s="164"/>
      <c r="I60" s="16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</row>
    <row r="61" spans="1:28" s="141" customFormat="1" x14ac:dyDescent="0.3">
      <c r="A61" s="343" t="s">
        <v>149</v>
      </c>
      <c r="B61" s="344"/>
      <c r="C61" s="344"/>
      <c r="D61" s="344"/>
      <c r="E61" s="344"/>
      <c r="F61" s="344"/>
      <c r="G61" s="345"/>
      <c r="H61" s="165"/>
      <c r="I61" s="165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</row>
    <row r="62" spans="1:28" s="141" customFormat="1" x14ac:dyDescent="0.3">
      <c r="A62" s="346" t="s">
        <v>147</v>
      </c>
      <c r="B62" s="347"/>
      <c r="C62" s="347"/>
      <c r="D62" s="347"/>
      <c r="E62" s="347"/>
      <c r="F62" s="347"/>
      <c r="G62" s="348"/>
      <c r="H62" s="166"/>
      <c r="I62" s="166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</row>
    <row r="63" spans="1:28" s="141" customFormat="1" x14ac:dyDescent="0.3">
      <c r="A63" s="346" t="s">
        <v>305</v>
      </c>
      <c r="B63" s="347"/>
      <c r="C63" s="347"/>
      <c r="D63" s="347"/>
      <c r="E63" s="347"/>
      <c r="F63" s="347"/>
      <c r="G63" s="348"/>
      <c r="H63" s="166"/>
      <c r="I63" s="166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</row>
    <row r="64" spans="1:28" s="141" customFormat="1" ht="15.75" thickBot="1" x14ac:dyDescent="0.35">
      <c r="A64" s="337" t="s">
        <v>41</v>
      </c>
      <c r="B64" s="338"/>
      <c r="C64" s="338"/>
      <c r="D64" s="338"/>
      <c r="E64" s="338"/>
      <c r="F64" s="338"/>
      <c r="G64" s="339"/>
      <c r="H64" s="166"/>
      <c r="I64" s="166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</row>
  </sheetData>
  <mergeCells count="49">
    <mergeCell ref="F19:G19"/>
    <mergeCell ref="A12:G12"/>
    <mergeCell ref="F13:G13"/>
    <mergeCell ref="F18:G18"/>
    <mergeCell ref="F14:G14"/>
    <mergeCell ref="F16:G16"/>
    <mergeCell ref="F15:G15"/>
    <mergeCell ref="A64:G64"/>
    <mergeCell ref="A58:G58"/>
    <mergeCell ref="A61:G61"/>
    <mergeCell ref="A62:G62"/>
    <mergeCell ref="A63:G63"/>
    <mergeCell ref="A59:G59"/>
    <mergeCell ref="A1:G1"/>
    <mergeCell ref="A2:G2"/>
    <mergeCell ref="A4:G4"/>
    <mergeCell ref="A10:G10"/>
    <mergeCell ref="A5:C5"/>
    <mergeCell ref="A3:G3"/>
    <mergeCell ref="D5:G5"/>
    <mergeCell ref="A7:G7"/>
    <mergeCell ref="A8:G8"/>
    <mergeCell ref="A6:G6"/>
    <mergeCell ref="A9:G9"/>
    <mergeCell ref="A35:G35"/>
    <mergeCell ref="A37:G37"/>
    <mergeCell ref="A33:G33"/>
    <mergeCell ref="F27:G27"/>
    <mergeCell ref="A34:G34"/>
    <mergeCell ref="A36:G36"/>
    <mergeCell ref="A30:D30"/>
    <mergeCell ref="A31:D31"/>
    <mergeCell ref="A32:D32"/>
    <mergeCell ref="E32:G32"/>
    <mergeCell ref="E31:G31"/>
    <mergeCell ref="E30:G30"/>
    <mergeCell ref="A26:B26"/>
    <mergeCell ref="A28:G28"/>
    <mergeCell ref="A29:G29"/>
    <mergeCell ref="F21:G21"/>
    <mergeCell ref="A27:D27"/>
    <mergeCell ref="F22:G22"/>
    <mergeCell ref="F23:G23"/>
    <mergeCell ref="F24:G24"/>
    <mergeCell ref="F25:G25"/>
    <mergeCell ref="D26:G26"/>
    <mergeCell ref="H22:H25"/>
    <mergeCell ref="F20:G20"/>
    <mergeCell ref="F17:G17"/>
  </mergeCells>
  <phoneticPr fontId="0" type="noConversion"/>
  <printOptions horizontalCentered="1" verticalCentered="1"/>
  <pageMargins left="0.39370078740157483" right="0.39370078740157483" top="0.98425196850393704" bottom="0.78740157480314965" header="0.51181102362204722" footer="0.51181102362204722"/>
  <pageSetup paperSize="9" scale="36" orientation="portrait" r:id="rId1"/>
  <headerFooter alignWithMargins="0">
    <oddHeader>&amp;R&amp;G</oddHeader>
    <oddFooter>&amp;CLINCE SEGURANÇA PATRIMONIAL LTDA. Av. São Paulo, 1049, São Geraldo, Porto Alegre/RS&amp;R&amp;P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34"/>
      <c r="B2" s="134"/>
      <c r="C2" s="134"/>
      <c r="D2" s="134"/>
      <c r="E2" s="226"/>
      <c r="F2" s="237"/>
      <c r="G2" s="248"/>
      <c r="H2" s="248"/>
      <c r="I2" s="252"/>
      <c r="J2" s="134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35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x14ac:dyDescent="0.2">
      <c r="A16" s="387" t="s">
        <v>214</v>
      </c>
      <c r="B16" s="387"/>
      <c r="C16" s="136" t="s">
        <v>218</v>
      </c>
      <c r="D16" s="387">
        <v>1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30</v>
      </c>
    </row>
    <row r="17" spans="1:13" ht="13.5" thickBot="1" x14ac:dyDescent="0.25">
      <c r="L17" s="7" t="s">
        <v>35</v>
      </c>
      <c r="M17" s="67">
        <f>ROUND((M13*M14*M16)-(M15*(J32+J38)),2)</f>
        <v>186.23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30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717.9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143.58000000000001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574.31999999999994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1</v>
      </c>
      <c r="F28" s="188">
        <v>1</v>
      </c>
      <c r="G28" s="188">
        <v>1</v>
      </c>
      <c r="H28" s="261">
        <v>1</v>
      </c>
      <c r="I28" s="188">
        <f>D16</f>
        <v>1</v>
      </c>
      <c r="J28" s="188">
        <f>D16</f>
        <v>1</v>
      </c>
      <c r="L28" s="185"/>
      <c r="M28" s="207"/>
    </row>
    <row r="29" spans="1:13" ht="15" x14ac:dyDescent="0.2">
      <c r="G29" s="229">
        <v>44651.95</v>
      </c>
      <c r="H29" s="229">
        <v>44743.34</v>
      </c>
      <c r="I29" s="229">
        <f>ROUND(SUM(I16:J27),2)</f>
        <v>89662.73</v>
      </c>
      <c r="J29" s="229">
        <f>ROUND(SUM(J16:K27),2)</f>
        <v>44919.39</v>
      </c>
      <c r="K29" s="230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221</v>
      </c>
      <c r="C32" s="367"/>
      <c r="D32" s="33"/>
      <c r="E32" s="34">
        <v>1135.05</v>
      </c>
      <c r="F32" s="263">
        <v>1176.45</v>
      </c>
      <c r="G32" s="263">
        <v>1176.45</v>
      </c>
      <c r="H32" s="263">
        <v>1247.175</v>
      </c>
      <c r="I32" s="263">
        <v>1247.175</v>
      </c>
      <c r="J32" s="276">
        <f>J21/220*172.5</f>
        <v>1383.4499999999998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340.52</v>
      </c>
      <c r="F33" s="34">
        <v>352.94</v>
      </c>
      <c r="G33" s="34">
        <v>352.94</v>
      </c>
      <c r="H33" s="263">
        <v>374.15</v>
      </c>
      <c r="I33" s="34">
        <v>374.15</v>
      </c>
      <c r="J33" s="34">
        <f>ROUND(D33*J32,2)</f>
        <v>415.04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32.9</v>
      </c>
      <c r="F34" s="34">
        <v>34.1</v>
      </c>
      <c r="G34" s="34">
        <v>34.1</v>
      </c>
      <c r="H34" s="263">
        <v>36.15</v>
      </c>
      <c r="I34" s="34">
        <v>36.15</v>
      </c>
      <c r="J34" s="34">
        <f>ROUND((J32/172.5)/6*30,2)</f>
        <v>40.1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0</v>
      </c>
      <c r="F35" s="34">
        <v>0</v>
      </c>
      <c r="G35" s="34">
        <v>0</v>
      </c>
      <c r="H35" s="263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0</v>
      </c>
      <c r="F36" s="34">
        <v>0</v>
      </c>
      <c r="G36" s="34">
        <v>0</v>
      </c>
      <c r="H36" s="263">
        <v>0</v>
      </c>
      <c r="I36" s="34">
        <v>0</v>
      </c>
      <c r="J36" s="34">
        <v>0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5.48</v>
      </c>
      <c r="F37" s="34">
        <v>5.68</v>
      </c>
      <c r="G37" s="34">
        <v>5.68</v>
      </c>
      <c r="H37" s="263">
        <v>6.03</v>
      </c>
      <c r="I37" s="34">
        <v>6.03</v>
      </c>
      <c r="J37" s="34">
        <f>ROUND((J34+J35+J36)*16.67%,2)</f>
        <v>6.68</v>
      </c>
      <c r="K37" s="170">
        <f>ROUND((J34)*16.67%,2)</f>
        <v>6.68</v>
      </c>
      <c r="M37" s="9"/>
    </row>
    <row r="38" spans="1:14" x14ac:dyDescent="0.2">
      <c r="A38" s="32" t="s">
        <v>6</v>
      </c>
      <c r="B38" s="366" t="s">
        <v>217</v>
      </c>
      <c r="C38" s="367"/>
      <c r="D38" s="33"/>
      <c r="E38" s="34">
        <v>256.62</v>
      </c>
      <c r="F38" s="34">
        <v>265.98</v>
      </c>
      <c r="G38" s="34">
        <v>265.98</v>
      </c>
      <c r="H38" s="263">
        <v>281.97000000000003</v>
      </c>
      <c r="I38" s="34">
        <v>281.97000000000003</v>
      </c>
      <c r="J38" s="34">
        <f>ROUND((J32+J33)/172.5*5*6,2)</f>
        <v>312.77999999999997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1770.57</v>
      </c>
      <c r="F39" s="31">
        <v>1835.15</v>
      </c>
      <c r="G39" s="35">
        <v>1835.15</v>
      </c>
      <c r="H39" s="35">
        <v>1945.48</v>
      </c>
      <c r="I39" s="35">
        <f>ROUND(SUM(I32:I38),2)</f>
        <v>1945.48</v>
      </c>
      <c r="J39" s="35">
        <f>ROUND(SUM(J32:J38),2)</f>
        <v>2158.0500000000002</v>
      </c>
      <c r="K39" s="35">
        <f>ROUND(SUM(J32:J38),2)-J34-K37</f>
        <v>2111.2700000000004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144.29</v>
      </c>
      <c r="F43" s="34">
        <v>149.55000000000001</v>
      </c>
      <c r="G43" s="34">
        <v>149.55000000000001</v>
      </c>
      <c r="H43" s="263">
        <v>158.54</v>
      </c>
      <c r="I43" s="34">
        <v>158.54</v>
      </c>
      <c r="J43" s="34">
        <f>ROUND(D43*$K$39,2)</f>
        <v>175.87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209.59</v>
      </c>
      <c r="F44" s="34">
        <v>217.24</v>
      </c>
      <c r="G44" s="34">
        <v>217.24</v>
      </c>
      <c r="H44" s="263">
        <v>230.3</v>
      </c>
      <c r="I44" s="34">
        <v>230.3</v>
      </c>
      <c r="J44" s="34">
        <f>ROUND(D44*$K$39,2)</f>
        <v>255.46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353.88</v>
      </c>
      <c r="F45" s="35">
        <v>366.79</v>
      </c>
      <c r="G45" s="35">
        <v>366.79</v>
      </c>
      <c r="H45" s="35">
        <v>388.84</v>
      </c>
      <c r="I45" s="35">
        <f>ROUND(SUM(I43:I44),2)</f>
        <v>388.84</v>
      </c>
      <c r="J45" s="35">
        <f>ROUND(SUM(J43:J44),2)</f>
        <v>431.33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346.44</v>
      </c>
      <c r="F48" s="34">
        <v>359.07</v>
      </c>
      <c r="G48" s="34">
        <v>359.07</v>
      </c>
      <c r="H48" s="263">
        <v>380.66</v>
      </c>
      <c r="I48" s="34">
        <v>380.66</v>
      </c>
      <c r="J48" s="34">
        <f t="shared" ref="J48:J55" si="0">ROUND(D48*($K$39),2)</f>
        <v>422.25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43.3</v>
      </c>
      <c r="F49" s="34">
        <v>44.88</v>
      </c>
      <c r="G49" s="34">
        <v>44.88</v>
      </c>
      <c r="H49" s="263">
        <v>47.58</v>
      </c>
      <c r="I49" s="34">
        <v>47.58</v>
      </c>
      <c r="J49" s="34">
        <f t="shared" si="0"/>
        <v>52.78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70.67</v>
      </c>
      <c r="F50" s="34">
        <v>73.25</v>
      </c>
      <c r="G50" s="34">
        <v>73.25</v>
      </c>
      <c r="H50" s="263">
        <v>77.650000000000006</v>
      </c>
      <c r="I50" s="34">
        <v>77.650000000000006</v>
      </c>
      <c r="J50" s="34">
        <f t="shared" si="0"/>
        <v>86.14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25.98</v>
      </c>
      <c r="F51" s="34">
        <v>26.93</v>
      </c>
      <c r="G51" s="34">
        <v>26.93</v>
      </c>
      <c r="H51" s="263">
        <v>28.55</v>
      </c>
      <c r="I51" s="34">
        <v>28.55</v>
      </c>
      <c r="J51" s="34">
        <f t="shared" si="0"/>
        <v>31.67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17.32</v>
      </c>
      <c r="F52" s="34">
        <v>17.95</v>
      </c>
      <c r="G52" s="34">
        <v>17.95</v>
      </c>
      <c r="H52" s="263">
        <v>19.03</v>
      </c>
      <c r="I52" s="34">
        <v>19.03</v>
      </c>
      <c r="J52" s="34">
        <f t="shared" si="0"/>
        <v>21.11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10.39</v>
      </c>
      <c r="F53" s="34">
        <v>10.77</v>
      </c>
      <c r="G53" s="34">
        <v>10.77</v>
      </c>
      <c r="H53" s="263">
        <v>11.42</v>
      </c>
      <c r="I53" s="34">
        <v>11.42</v>
      </c>
      <c r="J53" s="34">
        <f t="shared" si="0"/>
        <v>12.67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3.46</v>
      </c>
      <c r="F54" s="34">
        <v>3.59</v>
      </c>
      <c r="G54" s="34">
        <v>3.59</v>
      </c>
      <c r="H54" s="263">
        <v>3.81</v>
      </c>
      <c r="I54" s="34">
        <v>3.81</v>
      </c>
      <c r="J54" s="34">
        <f t="shared" si="0"/>
        <v>4.22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138.58000000000001</v>
      </c>
      <c r="F55" s="34">
        <v>143.63</v>
      </c>
      <c r="G55" s="34">
        <v>143.63</v>
      </c>
      <c r="H55" s="263">
        <v>152.26</v>
      </c>
      <c r="I55" s="34">
        <v>152.26</v>
      </c>
      <c r="J55" s="34">
        <f t="shared" si="0"/>
        <v>168.9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656.14</v>
      </c>
      <c r="F56" s="35">
        <v>680.07</v>
      </c>
      <c r="G56" s="35">
        <v>680.07</v>
      </c>
      <c r="H56" s="35">
        <v>720.96</v>
      </c>
      <c r="I56" s="35">
        <f>ROUND(SUM(I48:I55),2)</f>
        <v>720.96</v>
      </c>
      <c r="J56" s="35">
        <f>ROUND(SUM(J48:J55),2)</f>
        <v>799.74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30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174.5</v>
      </c>
      <c r="F59" s="34">
        <v>171.45</v>
      </c>
      <c r="G59" s="34">
        <v>195.45</v>
      </c>
      <c r="H59" s="263">
        <v>190.25</v>
      </c>
      <c r="I59" s="34">
        <v>196.25</v>
      </c>
      <c r="J59" s="34">
        <f>IF(M17&lt;=0,0,IF(M17&gt;0,M17))</f>
        <v>186.23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30 Dias Trabalhados) - (20% do desconto legal) ]</v>
      </c>
      <c r="C60" s="367"/>
      <c r="D60" s="38" t="s">
        <v>76</v>
      </c>
      <c r="E60" s="34">
        <v>0</v>
      </c>
      <c r="F60" s="263">
        <v>0</v>
      </c>
      <c r="G60" s="263">
        <v>0</v>
      </c>
      <c r="H60" s="263">
        <v>0</v>
      </c>
      <c r="I60" s="263">
        <v>0</v>
      </c>
      <c r="J60" s="276">
        <v>0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177</v>
      </c>
      <c r="F62" s="35">
        <v>173.95</v>
      </c>
      <c r="G62" s="35">
        <v>197.95</v>
      </c>
      <c r="H62" s="35">
        <v>192.75</v>
      </c>
      <c r="I62" s="35">
        <f>ROUND(SUM(I59:I61),2)</f>
        <v>198.75</v>
      </c>
      <c r="J62" s="35">
        <f>ROUND(SUM(J59:J61),2)</f>
        <v>188.73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376" t="s">
        <v>80</v>
      </c>
      <c r="C66" s="376"/>
      <c r="D66" s="376"/>
      <c r="E66" s="228">
        <v>353.88</v>
      </c>
      <c r="F66" s="25">
        <v>366.79</v>
      </c>
      <c r="G66" s="25">
        <v>366.79</v>
      </c>
      <c r="H66" s="257">
        <v>388.84</v>
      </c>
      <c r="I66" s="25">
        <v>388.84</v>
      </c>
      <c r="J66" s="25">
        <f>J45</f>
        <v>431.33</v>
      </c>
    </row>
    <row r="67" spans="1:10" x14ac:dyDescent="0.2">
      <c r="A67" s="135" t="s">
        <v>81</v>
      </c>
      <c r="B67" s="376" t="s">
        <v>82</v>
      </c>
      <c r="C67" s="376"/>
      <c r="D67" s="376"/>
      <c r="E67" s="228">
        <v>656.14</v>
      </c>
      <c r="F67" s="25">
        <v>680.07</v>
      </c>
      <c r="G67" s="25">
        <v>680.07</v>
      </c>
      <c r="H67" s="257">
        <v>720.96</v>
      </c>
      <c r="I67" s="25">
        <v>720.96</v>
      </c>
      <c r="J67" s="25">
        <f>J56</f>
        <v>799.74</v>
      </c>
    </row>
    <row r="68" spans="1:10" x14ac:dyDescent="0.2">
      <c r="A68" s="135" t="s">
        <v>83</v>
      </c>
      <c r="B68" s="376" t="s">
        <v>25</v>
      </c>
      <c r="C68" s="376"/>
      <c r="D68" s="376"/>
      <c r="E68" s="228">
        <v>177</v>
      </c>
      <c r="F68" s="25">
        <v>173.95</v>
      </c>
      <c r="G68" s="25">
        <v>197.95</v>
      </c>
      <c r="H68" s="257">
        <v>192.75</v>
      </c>
      <c r="I68" s="25">
        <v>198.75</v>
      </c>
      <c r="J68" s="25">
        <f>J62</f>
        <v>188.73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1187.02</v>
      </c>
      <c r="F69" s="128">
        <v>1220.81</v>
      </c>
      <c r="G69" s="35">
        <v>1244.81</v>
      </c>
      <c r="H69" s="35">
        <v>1302.55</v>
      </c>
      <c r="I69" s="35">
        <f>ROUND(SUM(I66:I68),2)</f>
        <v>1308.55</v>
      </c>
      <c r="J69" s="35">
        <f>ROUND(SUM(J66:J68),2)</f>
        <v>1419.8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7.28</v>
      </c>
      <c r="F73" s="34">
        <v>7.54</v>
      </c>
      <c r="G73" s="34">
        <v>7.54</v>
      </c>
      <c r="H73" s="263">
        <v>7.99</v>
      </c>
      <c r="I73" s="34">
        <v>7.99</v>
      </c>
      <c r="J73" s="34">
        <f t="shared" ref="J73:J78" si="1">ROUND(D73*$K$39,2)</f>
        <v>8.8699999999999992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0.52</v>
      </c>
      <c r="F74" s="34">
        <v>0.54</v>
      </c>
      <c r="G74" s="34">
        <v>0.54</v>
      </c>
      <c r="H74" s="263">
        <v>0.56999999999999995</v>
      </c>
      <c r="I74" s="34">
        <v>0.56999999999999995</v>
      </c>
      <c r="J74" s="34">
        <f t="shared" si="1"/>
        <v>0.63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4.16</v>
      </c>
      <c r="F75" s="34">
        <v>4.3099999999999996</v>
      </c>
      <c r="G75" s="34">
        <v>3.45</v>
      </c>
      <c r="H75" s="263">
        <v>3.65</v>
      </c>
      <c r="I75" s="34">
        <v>3.65</v>
      </c>
      <c r="J75" s="34">
        <f t="shared" si="1"/>
        <v>4.05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2.77</v>
      </c>
      <c r="F76" s="34">
        <v>2.87</v>
      </c>
      <c r="G76" s="34">
        <v>2.87</v>
      </c>
      <c r="H76" s="263">
        <v>3.05</v>
      </c>
      <c r="I76" s="34">
        <v>3.05</v>
      </c>
      <c r="J76" s="34">
        <f t="shared" si="1"/>
        <v>3.38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1.04</v>
      </c>
      <c r="F77" s="34">
        <v>1.08</v>
      </c>
      <c r="G77" s="34">
        <v>1.08</v>
      </c>
      <c r="H77" s="263">
        <v>1.1399999999999999</v>
      </c>
      <c r="I77" s="34">
        <v>1.1399999999999999</v>
      </c>
      <c r="J77" s="34">
        <f t="shared" si="1"/>
        <v>1.27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82.45</v>
      </c>
      <c r="F78" s="34">
        <v>85.46</v>
      </c>
      <c r="G78" s="34">
        <v>68.37</v>
      </c>
      <c r="H78" s="263">
        <v>72.48</v>
      </c>
      <c r="I78" s="34">
        <v>72.48</v>
      </c>
      <c r="J78" s="34">
        <f t="shared" si="1"/>
        <v>80.400000000000006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98.22</v>
      </c>
      <c r="F79" s="35">
        <v>101.8</v>
      </c>
      <c r="G79" s="35">
        <v>83.85</v>
      </c>
      <c r="H79" s="35">
        <v>88.88</v>
      </c>
      <c r="I79" s="35">
        <f>ROUND(SUM(I73:I78),2)</f>
        <v>88.88</v>
      </c>
      <c r="J79" s="35">
        <f>ROUND(SUM(J73:J78),2)</f>
        <v>98.6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17.5</v>
      </c>
      <c r="F83" s="34">
        <v>18.13</v>
      </c>
      <c r="G83" s="34">
        <v>18.13</v>
      </c>
      <c r="H83" s="263">
        <v>19.22</v>
      </c>
      <c r="I83" s="34">
        <v>19.22</v>
      </c>
      <c r="J83" s="34">
        <f t="shared" ref="J83:J88" si="2">ROUND(D83*$K$39,2)</f>
        <v>21.32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9.6999999999999993</v>
      </c>
      <c r="F84" s="34">
        <v>10.050000000000001</v>
      </c>
      <c r="G84" s="34">
        <v>10.050000000000001</v>
      </c>
      <c r="H84" s="263">
        <v>10.66</v>
      </c>
      <c r="I84" s="34">
        <v>10.66</v>
      </c>
      <c r="J84" s="34">
        <f t="shared" si="2"/>
        <v>11.82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24.08</v>
      </c>
      <c r="F85" s="34">
        <v>24.96</v>
      </c>
      <c r="G85" s="34">
        <v>24.96</v>
      </c>
      <c r="H85" s="263">
        <v>26.46</v>
      </c>
      <c r="I85" s="34">
        <v>26.46</v>
      </c>
      <c r="J85" s="34">
        <f t="shared" si="2"/>
        <v>29.35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2.94</v>
      </c>
      <c r="F86" s="34">
        <v>3.05</v>
      </c>
      <c r="G86" s="34">
        <v>3.05</v>
      </c>
      <c r="H86" s="263">
        <v>3.24</v>
      </c>
      <c r="I86" s="34">
        <v>3.24</v>
      </c>
      <c r="J86" s="34">
        <f t="shared" si="2"/>
        <v>3.59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3.64</v>
      </c>
      <c r="F87" s="34">
        <v>3.77</v>
      </c>
      <c r="G87" s="34">
        <v>3.77</v>
      </c>
      <c r="H87" s="263">
        <v>4</v>
      </c>
      <c r="I87" s="34">
        <v>4</v>
      </c>
      <c r="J87" s="34">
        <f t="shared" si="2"/>
        <v>4.43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1.21</v>
      </c>
      <c r="F88" s="34">
        <v>1.26</v>
      </c>
      <c r="G88" s="34">
        <v>1.26</v>
      </c>
      <c r="H88" s="263">
        <v>1.33</v>
      </c>
      <c r="I88" s="34">
        <v>1.33</v>
      </c>
      <c r="J88" s="34">
        <f t="shared" si="2"/>
        <v>1.48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59.07</v>
      </c>
      <c r="F89" s="35">
        <v>61.22</v>
      </c>
      <c r="G89" s="35">
        <v>61.22</v>
      </c>
      <c r="H89" s="35">
        <v>64.91</v>
      </c>
      <c r="I89" s="35">
        <f>ROUND(SUM(I83:I88),2)</f>
        <v>64.91</v>
      </c>
      <c r="J89" s="35">
        <f>ROUND(SUM(J83:J88),2)</f>
        <v>71.989999999999995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156.43</v>
      </c>
      <c r="F92" s="34">
        <v>162.13</v>
      </c>
      <c r="G92" s="34">
        <v>162.13</v>
      </c>
      <c r="H92" s="263">
        <v>171.88</v>
      </c>
      <c r="I92" s="34">
        <v>171.88</v>
      </c>
      <c r="J92" s="34">
        <f>ROUND(D92*$K$39,2)</f>
        <v>190.66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156.43</v>
      </c>
      <c r="F93" s="128">
        <v>162.13</v>
      </c>
      <c r="G93" s="128">
        <v>162.13</v>
      </c>
      <c r="H93" s="128">
        <v>171.88</v>
      </c>
      <c r="I93" s="128">
        <f>ROUND(SUM(I92:I92),2)</f>
        <v>171.88</v>
      </c>
      <c r="J93" s="128">
        <f>ROUND(SUM(J92:J92),2)</f>
        <v>190.66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74.03</v>
      </c>
      <c r="F96" s="34">
        <v>76.73</v>
      </c>
      <c r="G96" s="34">
        <v>76.73</v>
      </c>
      <c r="H96" s="263">
        <v>81.34</v>
      </c>
      <c r="I96" s="34">
        <f>ROUND((I21/220)*M16*1.5*0.25,2)</f>
        <v>81.34</v>
      </c>
      <c r="J96" s="34">
        <f>ROUND((J21/220)*M16*1.5*0.25,2)</f>
        <v>90.23</v>
      </c>
    </row>
    <row r="97" spans="1:16" ht="12.75" customHeight="1" x14ac:dyDescent="0.2">
      <c r="A97" s="370" t="s">
        <v>156</v>
      </c>
      <c r="B97" s="371"/>
      <c r="C97" s="371"/>
      <c r="D97" s="372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81.34</v>
      </c>
      <c r="J97" s="35">
        <f>ROUND(SUM(J96:J96),2)</f>
        <v>90.23</v>
      </c>
    </row>
    <row r="98" spans="1:16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6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6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376" t="s">
        <v>95</v>
      </c>
      <c r="C102" s="376"/>
      <c r="D102" s="376"/>
      <c r="E102" s="25">
        <v>215.5</v>
      </c>
      <c r="F102" s="25">
        <v>223.35</v>
      </c>
      <c r="G102" s="25">
        <v>223.35</v>
      </c>
      <c r="H102" s="257">
        <v>236.79</v>
      </c>
      <c r="I102" s="25">
        <v>236.79</v>
      </c>
      <c r="J102" s="25">
        <f>ROUND(J89+J93,2)</f>
        <v>262.64999999999998</v>
      </c>
    </row>
    <row r="103" spans="1:16" x14ac:dyDescent="0.2">
      <c r="A103" s="48" t="s">
        <v>27</v>
      </c>
      <c r="B103" s="376" t="s">
        <v>101</v>
      </c>
      <c r="C103" s="376"/>
      <c r="D103" s="376"/>
      <c r="E103" s="25">
        <v>74.03</v>
      </c>
      <c r="F103" s="25">
        <v>76.73</v>
      </c>
      <c r="G103" s="25">
        <v>76.73</v>
      </c>
      <c r="H103" s="257">
        <v>81.34</v>
      </c>
      <c r="I103" s="25">
        <f>I97</f>
        <v>81.34</v>
      </c>
      <c r="J103" s="25">
        <f>J97</f>
        <v>90.23</v>
      </c>
    </row>
    <row r="104" spans="1:16" s="137" customFormat="1" ht="12.75" customHeight="1" x14ac:dyDescent="0.2">
      <c r="A104" s="369" t="s">
        <v>102</v>
      </c>
      <c r="B104" s="369"/>
      <c r="C104" s="369"/>
      <c r="D104" s="369"/>
      <c r="E104" s="35">
        <v>289.52999999999997</v>
      </c>
      <c r="F104" s="35">
        <v>300.08</v>
      </c>
      <c r="G104" s="35">
        <v>300.08</v>
      </c>
      <c r="H104" s="35">
        <v>318.13</v>
      </c>
      <c r="I104" s="35">
        <f>ROUND(SUM(I102:I103),2)</f>
        <v>318.13</v>
      </c>
      <c r="J104" s="35">
        <f>ROUND(SUM(J102:J103),2)</f>
        <v>352.88</v>
      </c>
      <c r="K104" s="9"/>
      <c r="L104" s="9"/>
      <c r="N104" s="9"/>
      <c r="O104" s="9"/>
      <c r="P104" s="9"/>
    </row>
    <row r="106" spans="1:16" s="137" customFormat="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>
        <v>17.690000000000001</v>
      </c>
      <c r="J109" s="279">
        <f>'Uniformes e Equiptos'!H41</f>
        <v>19.46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  <c r="K111" s="9"/>
      <c r="L111" s="9"/>
      <c r="N111" s="9"/>
      <c r="O111" s="9"/>
      <c r="P111" s="9"/>
    </row>
    <row r="113" spans="1:16" s="137" customFormat="1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101.4</v>
      </c>
      <c r="F115" s="34">
        <v>104.78</v>
      </c>
      <c r="G115" s="34">
        <v>104.96</v>
      </c>
      <c r="H115" s="263">
        <v>110.69</v>
      </c>
      <c r="I115" s="34">
        <v>110.87</v>
      </c>
      <c r="J115" s="34">
        <f>ROUND(J130*D115,2)</f>
        <v>122.03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35.51</v>
      </c>
      <c r="F116" s="34">
        <v>36.69</v>
      </c>
      <c r="G116" s="34">
        <v>36.76</v>
      </c>
      <c r="H116" s="263">
        <v>38.76</v>
      </c>
      <c r="I116" s="34">
        <v>38.83</v>
      </c>
      <c r="J116" s="34">
        <f>ROUND((J130+J115)*D116,2)</f>
        <v>42.73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24.36</v>
      </c>
      <c r="F118" s="34">
        <v>25.17</v>
      </c>
      <c r="G118" s="34">
        <v>25.21</v>
      </c>
      <c r="H118" s="263">
        <v>26.59</v>
      </c>
      <c r="I118" s="34">
        <v>26.63</v>
      </c>
      <c r="J118" s="34">
        <f>ROUND((($J$130+$J$115+$J$116)/(1-($D$118+$D$119+$D$120)))*D118,2)</f>
        <v>29.31</v>
      </c>
      <c r="K118" s="364"/>
      <c r="L118" s="365"/>
      <c r="N118" s="9"/>
      <c r="O118" s="9"/>
      <c r="P118" s="9"/>
    </row>
    <row r="119" spans="1:16" s="137" customFormat="1" x14ac:dyDescent="0.2">
      <c r="A119" s="32" t="s">
        <v>108</v>
      </c>
      <c r="B119" s="366" t="s">
        <v>14</v>
      </c>
      <c r="C119" s="367"/>
      <c r="D119" s="51">
        <v>0.03</v>
      </c>
      <c r="E119" s="34">
        <v>112.42</v>
      </c>
      <c r="F119" s="34">
        <v>116.16</v>
      </c>
      <c r="G119" s="34">
        <v>116.37</v>
      </c>
      <c r="H119" s="263">
        <v>122.72</v>
      </c>
      <c r="I119" s="34">
        <v>122.92</v>
      </c>
      <c r="J119" s="34">
        <f>ROUND((($J$130+$J$115+$J$116)/(1-($D$118+$D$119+$D$120)))*D119,2)</f>
        <v>135.29</v>
      </c>
      <c r="K119" s="364"/>
      <c r="L119" s="365"/>
      <c r="N119" s="9"/>
      <c r="O119" s="9"/>
      <c r="P119" s="9"/>
    </row>
    <row r="120" spans="1:16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93.69</v>
      </c>
      <c r="F120" s="34">
        <v>96.8</v>
      </c>
      <c r="G120" s="34">
        <v>96.97</v>
      </c>
      <c r="H120" s="263">
        <v>102.27</v>
      </c>
      <c r="I120" s="34">
        <v>102.44</v>
      </c>
      <c r="J120" s="34">
        <f>ROUND((($J$130+$J$115+$J$116)/(1-($D$118+$D$119+$D$120)))*D120,2)</f>
        <v>112.74</v>
      </c>
    </row>
    <row r="121" spans="1:16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367.38</v>
      </c>
      <c r="F121" s="31">
        <v>379.59999999999997</v>
      </c>
      <c r="G121" s="31">
        <v>380.27</v>
      </c>
      <c r="H121" s="31">
        <v>401.03</v>
      </c>
      <c r="I121" s="31">
        <f>SUM(I115:I120)</f>
        <v>401.69</v>
      </c>
      <c r="J121" s="31">
        <f>SUM(J115:J120)</f>
        <v>442.1</v>
      </c>
    </row>
    <row r="123" spans="1:16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6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376" t="s">
        <v>65</v>
      </c>
      <c r="C125" s="376"/>
      <c r="D125" s="376"/>
      <c r="E125" s="25">
        <v>1770.57</v>
      </c>
      <c r="F125" s="25">
        <v>1835.15</v>
      </c>
      <c r="G125" s="25">
        <v>1835.15</v>
      </c>
      <c r="H125" s="257">
        <v>1945.48</v>
      </c>
      <c r="I125" s="25">
        <v>1945.48</v>
      </c>
      <c r="J125" s="25">
        <f>J39</f>
        <v>2158.0500000000002</v>
      </c>
    </row>
    <row r="126" spans="1:16" x14ac:dyDescent="0.2">
      <c r="A126" s="136" t="s">
        <v>1</v>
      </c>
      <c r="B126" s="376" t="s">
        <v>68</v>
      </c>
      <c r="C126" s="376"/>
      <c r="D126" s="376"/>
      <c r="E126" s="25">
        <v>1187.02</v>
      </c>
      <c r="F126" s="25">
        <v>1220.81</v>
      </c>
      <c r="G126" s="25">
        <v>1244.81</v>
      </c>
      <c r="H126" s="257">
        <v>1302.55</v>
      </c>
      <c r="I126" s="25">
        <v>1308.55</v>
      </c>
      <c r="J126" s="25">
        <f>J69</f>
        <v>1419.8</v>
      </c>
    </row>
    <row r="127" spans="1:16" x14ac:dyDescent="0.2">
      <c r="A127" s="136" t="s">
        <v>2</v>
      </c>
      <c r="B127" s="376" t="s">
        <v>84</v>
      </c>
      <c r="C127" s="376"/>
      <c r="D127" s="376"/>
      <c r="E127" s="25">
        <v>98.22</v>
      </c>
      <c r="F127" s="25">
        <v>101.8</v>
      </c>
      <c r="G127" s="25">
        <v>83.85</v>
      </c>
      <c r="H127" s="257">
        <v>88.88</v>
      </c>
      <c r="I127" s="25">
        <v>88.88</v>
      </c>
      <c r="J127" s="25">
        <f>J79</f>
        <v>98.6</v>
      </c>
    </row>
    <row r="128" spans="1:16" x14ac:dyDescent="0.2">
      <c r="A128" s="56" t="s">
        <v>3</v>
      </c>
      <c r="B128" s="376" t="s">
        <v>92</v>
      </c>
      <c r="C128" s="376"/>
      <c r="D128" s="376"/>
      <c r="E128" s="25">
        <v>289.52999999999997</v>
      </c>
      <c r="F128" s="25">
        <v>300.08</v>
      </c>
      <c r="G128" s="25">
        <v>300.08</v>
      </c>
      <c r="H128" s="257">
        <v>318.13</v>
      </c>
      <c r="I128" s="25">
        <v>318.13</v>
      </c>
      <c r="J128" s="25">
        <f>J104</f>
        <v>352.88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>
        <v>34.69</v>
      </c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3380.03</v>
      </c>
      <c r="F130" s="60">
        <v>3492.53</v>
      </c>
      <c r="G130" s="60">
        <v>3498.58</v>
      </c>
      <c r="H130" s="60">
        <v>3689.73</v>
      </c>
      <c r="I130" s="60">
        <v>3695.73</v>
      </c>
      <c r="J130" s="60">
        <f>SUM(J125:J129)</f>
        <v>4067.51</v>
      </c>
    </row>
    <row r="131" spans="1:12" x14ac:dyDescent="0.2">
      <c r="A131" s="136" t="s">
        <v>5</v>
      </c>
      <c r="B131" s="376" t="s">
        <v>105</v>
      </c>
      <c r="C131" s="376"/>
      <c r="D131" s="376"/>
      <c r="E131" s="25">
        <v>367.38</v>
      </c>
      <c r="F131" s="25">
        <v>379.59999999999997</v>
      </c>
      <c r="G131" s="25">
        <v>380.27</v>
      </c>
      <c r="H131" s="257">
        <v>401.03</v>
      </c>
      <c r="I131" s="25">
        <v>401.69</v>
      </c>
      <c r="J131" s="25">
        <f>J121</f>
        <v>442.1</v>
      </c>
    </row>
    <row r="132" spans="1:12" x14ac:dyDescent="0.2">
      <c r="A132" s="369" t="s">
        <v>113</v>
      </c>
      <c r="B132" s="369"/>
      <c r="C132" s="369"/>
      <c r="D132" s="369"/>
      <c r="E132" s="119">
        <v>3747.41</v>
      </c>
      <c r="F132" s="119">
        <v>3872.13</v>
      </c>
      <c r="G132" s="119">
        <v>3878.85</v>
      </c>
      <c r="H132" s="119">
        <v>4090.76</v>
      </c>
      <c r="I132" s="119">
        <v>4097.42</v>
      </c>
      <c r="J132" s="119">
        <f>ROUND(SUM(J130:J131),2)</f>
        <v>4509.6099999999997</v>
      </c>
    </row>
    <row r="133" spans="1:12" x14ac:dyDescent="0.2">
      <c r="A133" s="380" t="s">
        <v>140</v>
      </c>
      <c r="B133" s="380"/>
      <c r="C133" s="380"/>
      <c r="D133" s="380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x14ac:dyDescent="0.2">
      <c r="A134" s="368" t="s">
        <v>141</v>
      </c>
      <c r="B134" s="368"/>
      <c r="C134" s="368"/>
      <c r="D134" s="368"/>
      <c r="E134" s="233">
        <v>3747.41</v>
      </c>
      <c r="F134" s="233">
        <v>3872.13</v>
      </c>
      <c r="G134" s="111">
        <v>3878.85</v>
      </c>
      <c r="H134" s="111">
        <v>4090.76</v>
      </c>
      <c r="I134" s="111">
        <f>ROUND(I132*I133,2)</f>
        <v>4097.42</v>
      </c>
      <c r="J134" s="111">
        <f>ROUND(J132*J133,2)</f>
        <v>4509.6099999999997</v>
      </c>
    </row>
  </sheetData>
  <mergeCells count="123">
    <mergeCell ref="A1:J1"/>
    <mergeCell ref="A3:C3"/>
    <mergeCell ref="D3:J3"/>
    <mergeCell ref="A4:C4"/>
    <mergeCell ref="D4:J4"/>
    <mergeCell ref="L3:M3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B38:C38"/>
    <mergeCell ref="A39:D39"/>
    <mergeCell ref="A41:J41"/>
    <mergeCell ref="A42:C4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02:D102"/>
    <mergeCell ref="B103:D103"/>
    <mergeCell ref="A104:D104"/>
    <mergeCell ref="A106:J106"/>
    <mergeCell ref="K118:L118"/>
    <mergeCell ref="K119:L119"/>
    <mergeCell ref="B107:C107"/>
    <mergeCell ref="B108:C108"/>
    <mergeCell ref="B109:C109"/>
    <mergeCell ref="B110:C110"/>
    <mergeCell ref="A111:C111"/>
    <mergeCell ref="A113:J113"/>
    <mergeCell ref="B125:D125"/>
    <mergeCell ref="B126:D126"/>
    <mergeCell ref="B114:C114"/>
    <mergeCell ref="B115:C115"/>
    <mergeCell ref="B117:C117"/>
    <mergeCell ref="B118:C118"/>
    <mergeCell ref="B119:C119"/>
    <mergeCell ref="A134:D134"/>
    <mergeCell ref="B127:D127"/>
    <mergeCell ref="B128:D128"/>
    <mergeCell ref="B129:D129"/>
    <mergeCell ref="B130:D130"/>
    <mergeCell ref="B131:D131"/>
    <mergeCell ref="A132:D132"/>
    <mergeCell ref="A133:D133"/>
    <mergeCell ref="B120:C120"/>
    <mergeCell ref="A121:C121"/>
    <mergeCell ref="A123:J123"/>
    <mergeCell ref="A124:D124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6"/>
  </sheetPr>
  <dimension ref="A1:Z119"/>
  <sheetViews>
    <sheetView view="pageBreakPreview" topLeftCell="A40" zoomScaleNormal="100" workbookViewId="0">
      <selection activeCell="J22" sqref="J22"/>
    </sheetView>
  </sheetViews>
  <sheetFormatPr defaultRowHeight="12.75" x14ac:dyDescent="0.2"/>
  <cols>
    <col min="1" max="1" width="6.42578125" style="73" customWidth="1"/>
    <col min="2" max="2" width="77.28515625" style="73" customWidth="1"/>
    <col min="3" max="3" width="13.7109375" style="73" customWidth="1"/>
    <col min="4" max="4" width="14.140625" style="73" customWidth="1"/>
    <col min="5" max="5" width="7.7109375" style="73" customWidth="1"/>
    <col min="6" max="7" width="9.140625" style="73"/>
    <col min="8" max="8" width="9.140625" style="74"/>
    <col min="9" max="13" width="9.140625" style="73"/>
    <col min="14" max="17" width="9.140625" style="75"/>
    <col min="18" max="16384" width="9.140625" style="76"/>
  </cols>
  <sheetData>
    <row r="1" spans="1:17" ht="13.5" customHeight="1" x14ac:dyDescent="0.2">
      <c r="A1" s="396" t="s">
        <v>114</v>
      </c>
      <c r="B1" s="396"/>
      <c r="C1" s="396"/>
      <c r="D1" s="396"/>
      <c r="E1" s="396"/>
      <c r="F1" s="396"/>
    </row>
    <row r="2" spans="1:17" ht="13.5" customHeight="1" thickBot="1" x14ac:dyDescent="0.25">
      <c r="A2" s="77"/>
      <c r="B2" s="77"/>
      <c r="C2" s="77"/>
      <c r="D2" s="77"/>
      <c r="E2" s="77"/>
      <c r="F2" s="77"/>
    </row>
    <row r="3" spans="1:17" ht="13.5" customHeight="1" x14ac:dyDescent="0.2">
      <c r="A3" s="78" t="s">
        <v>69</v>
      </c>
      <c r="B3" s="79"/>
      <c r="C3" s="80">
        <v>0.20429999999999998</v>
      </c>
      <c r="D3" s="79"/>
      <c r="E3" s="79"/>
      <c r="F3" s="81"/>
      <c r="K3" s="75"/>
      <c r="L3" s="75"/>
      <c r="M3" s="75"/>
      <c r="O3" s="76"/>
      <c r="P3" s="76"/>
      <c r="Q3" s="76"/>
    </row>
    <row r="4" spans="1:17" ht="13.5" customHeight="1" x14ac:dyDescent="0.2">
      <c r="A4" s="82"/>
      <c r="B4" s="83"/>
      <c r="C4" s="83"/>
      <c r="D4" s="83"/>
      <c r="E4" s="83"/>
      <c r="F4" s="84"/>
      <c r="K4" s="75"/>
      <c r="L4" s="75"/>
      <c r="M4" s="75"/>
      <c r="O4" s="76"/>
      <c r="P4" s="76"/>
      <c r="Q4" s="76"/>
    </row>
    <row r="5" spans="1:17" ht="13.5" customHeight="1" x14ac:dyDescent="0.2">
      <c r="A5" s="85" t="s">
        <v>0</v>
      </c>
      <c r="B5" s="86" t="s">
        <v>15</v>
      </c>
      <c r="C5" s="87">
        <v>8.3299999999999999E-2</v>
      </c>
      <c r="D5" s="83"/>
      <c r="E5" s="83"/>
      <c r="F5" s="84"/>
      <c r="H5" s="89"/>
      <c r="K5" s="75"/>
      <c r="L5" s="75"/>
      <c r="M5" s="75"/>
      <c r="O5" s="76"/>
      <c r="P5" s="76"/>
      <c r="Q5" s="76"/>
    </row>
    <row r="6" spans="1:17" ht="13.5" customHeight="1" x14ac:dyDescent="0.2">
      <c r="A6" s="85"/>
      <c r="B6" s="97" t="s">
        <v>116</v>
      </c>
      <c r="C6" s="87"/>
      <c r="D6" s="83"/>
      <c r="E6" s="83"/>
      <c r="F6" s="84"/>
      <c r="K6" s="75"/>
      <c r="L6" s="75"/>
      <c r="M6" s="75"/>
      <c r="O6" s="76"/>
      <c r="P6" s="76"/>
      <c r="Q6" s="76"/>
    </row>
    <row r="7" spans="1:17" ht="13.5" customHeight="1" x14ac:dyDescent="0.2">
      <c r="A7" s="85"/>
      <c r="B7" s="98" t="s">
        <v>306</v>
      </c>
      <c r="C7" s="87"/>
      <c r="D7" s="83"/>
      <c r="E7" s="83"/>
      <c r="F7" s="84"/>
      <c r="K7" s="75"/>
      <c r="L7" s="75"/>
      <c r="M7" s="75"/>
      <c r="O7" s="76"/>
      <c r="P7" s="76"/>
      <c r="Q7" s="76"/>
    </row>
    <row r="8" spans="1:17" ht="13.5" customHeight="1" x14ac:dyDescent="0.2">
      <c r="A8" s="85"/>
      <c r="B8" s="98" t="s">
        <v>307</v>
      </c>
      <c r="C8" s="87"/>
      <c r="D8" s="83"/>
      <c r="E8" s="83"/>
      <c r="F8" s="84"/>
      <c r="K8" s="75"/>
      <c r="L8" s="75"/>
      <c r="M8" s="75"/>
      <c r="O8" s="76"/>
      <c r="P8" s="76"/>
      <c r="Q8" s="76"/>
    </row>
    <row r="9" spans="1:17" ht="13.5" customHeight="1" x14ac:dyDescent="0.2">
      <c r="A9" s="85"/>
      <c r="B9" s="98" t="s">
        <v>308</v>
      </c>
      <c r="C9" s="87"/>
      <c r="D9" s="83"/>
      <c r="E9" s="83"/>
      <c r="F9" s="84"/>
      <c r="K9" s="75"/>
      <c r="L9" s="75"/>
      <c r="M9" s="75"/>
      <c r="O9" s="76"/>
      <c r="P9" s="76"/>
      <c r="Q9" s="76"/>
    </row>
    <row r="10" spans="1:17" ht="13.5" customHeight="1" x14ac:dyDescent="0.2">
      <c r="A10" s="85"/>
      <c r="B10" s="98"/>
      <c r="C10" s="87"/>
      <c r="D10" s="83"/>
      <c r="E10" s="83"/>
      <c r="F10" s="84"/>
      <c r="K10" s="75"/>
      <c r="L10" s="75"/>
      <c r="M10" s="75"/>
      <c r="O10" s="76"/>
      <c r="P10" s="76"/>
      <c r="Q10" s="76"/>
    </row>
    <row r="11" spans="1:17" ht="13.5" customHeight="1" x14ac:dyDescent="0.2">
      <c r="A11" s="85" t="s">
        <v>1</v>
      </c>
      <c r="B11" s="86" t="s">
        <v>49</v>
      </c>
      <c r="C11" s="87">
        <v>0.121</v>
      </c>
      <c r="D11" s="83"/>
      <c r="E11" s="83"/>
      <c r="F11" s="84"/>
      <c r="H11" s="89"/>
      <c r="K11" s="75"/>
      <c r="L11" s="75"/>
      <c r="M11" s="75"/>
      <c r="O11" s="76"/>
      <c r="P11" s="76"/>
      <c r="Q11" s="76"/>
    </row>
    <row r="12" spans="1:17" ht="13.5" customHeight="1" thickBot="1" x14ac:dyDescent="0.25">
      <c r="A12" s="90"/>
      <c r="B12" s="104"/>
      <c r="C12" s="92"/>
      <c r="D12" s="93"/>
      <c r="E12" s="93"/>
      <c r="F12" s="94"/>
      <c r="K12" s="75"/>
      <c r="L12" s="75"/>
      <c r="M12" s="75"/>
      <c r="O12" s="76"/>
      <c r="P12" s="76"/>
      <c r="Q12" s="76"/>
    </row>
    <row r="13" spans="1:17" ht="13.5" customHeight="1" thickBot="1" x14ac:dyDescent="0.25">
      <c r="A13" s="77"/>
      <c r="B13" s="77"/>
      <c r="C13" s="77"/>
      <c r="D13" s="77"/>
      <c r="E13" s="77"/>
      <c r="F13" s="77"/>
      <c r="K13" s="75"/>
      <c r="L13" s="75"/>
      <c r="M13" s="75"/>
      <c r="O13" s="76"/>
      <c r="P13" s="76"/>
      <c r="Q13" s="76"/>
    </row>
    <row r="14" spans="1:17" ht="13.5" customHeight="1" x14ac:dyDescent="0.2">
      <c r="A14" s="78" t="s">
        <v>71</v>
      </c>
      <c r="B14" s="79"/>
      <c r="C14" s="80">
        <v>0.37880000000000003</v>
      </c>
      <c r="D14" s="79"/>
      <c r="E14" s="79"/>
      <c r="F14" s="81"/>
    </row>
    <row r="15" spans="1:17" ht="13.5" customHeight="1" x14ac:dyDescent="0.2">
      <c r="A15" s="82"/>
      <c r="B15" s="83"/>
      <c r="C15" s="83"/>
      <c r="D15" s="83"/>
      <c r="E15" s="83"/>
      <c r="F15" s="84"/>
    </row>
    <row r="16" spans="1:17" ht="13.5" customHeight="1" x14ac:dyDescent="0.2">
      <c r="A16" s="85" t="s">
        <v>0</v>
      </c>
      <c r="B16" s="86" t="s">
        <v>252</v>
      </c>
      <c r="C16" s="87">
        <v>0.2</v>
      </c>
      <c r="D16" s="397" t="s">
        <v>115</v>
      </c>
      <c r="E16" s="83"/>
      <c r="F16" s="84"/>
    </row>
    <row r="17" spans="1:26" ht="13.5" customHeight="1" x14ac:dyDescent="0.2">
      <c r="A17" s="85" t="s">
        <v>1</v>
      </c>
      <c r="B17" s="86" t="s">
        <v>256</v>
      </c>
      <c r="C17" s="87">
        <v>2.5000000000000001E-2</v>
      </c>
      <c r="D17" s="397"/>
      <c r="E17" s="83"/>
      <c r="F17" s="84"/>
    </row>
    <row r="18" spans="1:26" ht="34.5" customHeight="1" x14ac:dyDescent="0.2">
      <c r="A18" s="85" t="s">
        <v>2</v>
      </c>
      <c r="B18" s="86" t="s">
        <v>258</v>
      </c>
      <c r="C18" s="88">
        <v>4.0800000000000003E-2</v>
      </c>
      <c r="D18" s="397"/>
      <c r="E18" s="83"/>
      <c r="F18" s="84"/>
      <c r="H18" s="89"/>
      <c r="K18" s="75"/>
      <c r="L18" s="75"/>
      <c r="M18" s="75"/>
      <c r="O18" s="76"/>
      <c r="P18" s="76"/>
      <c r="Q18" s="76"/>
    </row>
    <row r="19" spans="1:26" ht="25.5" customHeight="1" x14ac:dyDescent="0.2">
      <c r="A19" s="85" t="s">
        <v>3</v>
      </c>
      <c r="B19" s="86" t="s">
        <v>253</v>
      </c>
      <c r="C19" s="87">
        <v>1.4999999999999999E-2</v>
      </c>
      <c r="D19" s="397"/>
      <c r="E19" s="83"/>
      <c r="F19" s="84"/>
      <c r="H19" s="105"/>
      <c r="I19" s="96"/>
    </row>
    <row r="20" spans="1:26" ht="13.5" customHeight="1" x14ac:dyDescent="0.2">
      <c r="A20" s="85" t="s">
        <v>4</v>
      </c>
      <c r="B20" s="86" t="s">
        <v>254</v>
      </c>
      <c r="C20" s="87">
        <v>0.01</v>
      </c>
      <c r="D20" s="397"/>
      <c r="E20" s="83"/>
      <c r="F20" s="84"/>
    </row>
    <row r="21" spans="1:26" ht="13.5" customHeight="1" x14ac:dyDescent="0.2">
      <c r="A21" s="85" t="s">
        <v>5</v>
      </c>
      <c r="B21" s="86" t="s">
        <v>259</v>
      </c>
      <c r="C21" s="87">
        <v>6.0000000000000001E-3</v>
      </c>
      <c r="D21" s="397"/>
      <c r="E21" s="83"/>
      <c r="F21" s="84"/>
      <c r="H21" s="76"/>
      <c r="I21" s="7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3.5" customHeight="1" x14ac:dyDescent="0.2">
      <c r="A22" s="85" t="s">
        <v>6</v>
      </c>
      <c r="B22" s="86" t="s">
        <v>255</v>
      </c>
      <c r="C22" s="87">
        <v>2E-3</v>
      </c>
      <c r="D22" s="397"/>
      <c r="E22" s="83"/>
      <c r="F22" s="84"/>
    </row>
    <row r="23" spans="1:26" ht="13.5" customHeight="1" thickBot="1" x14ac:dyDescent="0.25">
      <c r="A23" s="90" t="s">
        <v>10</v>
      </c>
      <c r="B23" s="91" t="s">
        <v>257</v>
      </c>
      <c r="C23" s="92">
        <v>0.08</v>
      </c>
      <c r="D23" s="398"/>
      <c r="E23" s="93"/>
      <c r="F23" s="94"/>
    </row>
    <row r="24" spans="1:26" ht="13.5" customHeight="1" thickBot="1" x14ac:dyDescent="0.25">
      <c r="A24" s="77"/>
      <c r="B24" s="77"/>
      <c r="C24" s="77"/>
      <c r="D24" s="77"/>
      <c r="E24" s="77"/>
      <c r="F24" s="77"/>
      <c r="K24" s="75"/>
      <c r="L24" s="75"/>
      <c r="M24" s="75"/>
      <c r="O24" s="76"/>
      <c r="P24" s="76"/>
      <c r="Q24" s="76"/>
    </row>
    <row r="25" spans="1:26" ht="13.5" customHeight="1" x14ac:dyDescent="0.2">
      <c r="A25" s="78" t="s">
        <v>84</v>
      </c>
      <c r="B25" s="79"/>
      <c r="C25" s="80">
        <v>5.67E-2</v>
      </c>
      <c r="D25" s="79"/>
      <c r="E25" s="79"/>
      <c r="F25" s="81"/>
      <c r="K25" s="75"/>
      <c r="L25" s="75"/>
      <c r="M25" s="75"/>
      <c r="O25" s="76"/>
      <c r="P25" s="76"/>
      <c r="Q25" s="76"/>
    </row>
    <row r="26" spans="1:26" ht="13.5" customHeight="1" x14ac:dyDescent="0.2">
      <c r="A26" s="107" t="s">
        <v>85</v>
      </c>
      <c r="B26" s="122"/>
      <c r="C26" s="106"/>
      <c r="D26" s="122"/>
      <c r="E26" s="122"/>
      <c r="F26" s="84"/>
      <c r="K26" s="75"/>
      <c r="L26" s="75"/>
      <c r="M26" s="75"/>
      <c r="O26" s="76"/>
      <c r="P26" s="76"/>
      <c r="Q26" s="76"/>
    </row>
    <row r="27" spans="1:26" ht="13.5" customHeight="1" x14ac:dyDescent="0.2">
      <c r="A27" s="82"/>
      <c r="B27" s="122"/>
      <c r="C27" s="122"/>
      <c r="D27" s="122"/>
      <c r="E27" s="122"/>
      <c r="F27" s="84"/>
      <c r="K27" s="75"/>
      <c r="L27" s="75"/>
      <c r="M27" s="75"/>
      <c r="O27" s="76"/>
      <c r="P27" s="76"/>
      <c r="Q27" s="76"/>
    </row>
    <row r="28" spans="1:26" ht="13.5" customHeight="1" x14ac:dyDescent="0.2">
      <c r="A28" s="85" t="s">
        <v>0</v>
      </c>
      <c r="B28" s="86" t="s">
        <v>86</v>
      </c>
      <c r="C28" s="87">
        <v>4.1999999999999997E-3</v>
      </c>
      <c r="D28" s="122"/>
      <c r="E28" s="122"/>
      <c r="F28" s="84"/>
      <c r="H28" s="101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spans="1:26" ht="13.5" customHeight="1" x14ac:dyDescent="0.2">
      <c r="A29" s="85"/>
      <c r="B29" s="122" t="s">
        <v>132</v>
      </c>
      <c r="C29" s="102"/>
      <c r="D29" s="122"/>
      <c r="E29" s="122"/>
      <c r="F29" s="84"/>
      <c r="H29" s="103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spans="1:26" ht="13.5" customHeight="1" x14ac:dyDescent="0.2">
      <c r="A30" s="85"/>
      <c r="B30" s="122" t="s">
        <v>116</v>
      </c>
      <c r="C30" s="102"/>
      <c r="D30" s="122"/>
      <c r="E30" s="122"/>
      <c r="F30" s="84"/>
      <c r="K30" s="75"/>
      <c r="L30" s="75"/>
      <c r="M30" s="75"/>
      <c r="O30" s="76"/>
      <c r="P30" s="76"/>
      <c r="Q30" s="76"/>
    </row>
    <row r="31" spans="1:26" ht="13.5" customHeight="1" x14ac:dyDescent="0.2">
      <c r="A31" s="85"/>
      <c r="B31" s="172" t="s">
        <v>133</v>
      </c>
      <c r="C31" s="102"/>
      <c r="D31" s="122"/>
      <c r="E31" s="122"/>
      <c r="F31" s="84"/>
      <c r="K31" s="75"/>
      <c r="L31" s="75"/>
      <c r="M31" s="75"/>
      <c r="O31" s="76"/>
      <c r="P31" s="76"/>
      <c r="Q31" s="76"/>
    </row>
    <row r="32" spans="1:26" ht="13.5" customHeight="1" x14ac:dyDescent="0.2">
      <c r="A32" s="85"/>
      <c r="B32" s="172" t="s">
        <v>134</v>
      </c>
      <c r="C32" s="102"/>
      <c r="D32" s="122"/>
      <c r="E32" s="122"/>
      <c r="F32" s="84"/>
      <c r="K32" s="75"/>
      <c r="L32" s="75"/>
      <c r="M32" s="75"/>
      <c r="O32" s="76"/>
      <c r="P32" s="76"/>
      <c r="Q32" s="76"/>
    </row>
    <row r="33" spans="1:26" ht="13.5" customHeight="1" x14ac:dyDescent="0.2">
      <c r="A33" s="85"/>
      <c r="B33" s="172" t="s">
        <v>135</v>
      </c>
      <c r="C33" s="102"/>
      <c r="D33" s="122"/>
      <c r="E33" s="122"/>
      <c r="F33" s="84"/>
      <c r="K33" s="75"/>
      <c r="L33" s="75"/>
      <c r="M33" s="75"/>
      <c r="O33" s="76"/>
      <c r="P33" s="76"/>
      <c r="Q33" s="76"/>
    </row>
    <row r="34" spans="1:26" ht="13.5" customHeight="1" x14ac:dyDescent="0.2">
      <c r="A34" s="85"/>
      <c r="B34" s="172" t="s">
        <v>136</v>
      </c>
      <c r="C34" s="102"/>
      <c r="D34" s="122"/>
      <c r="E34" s="122"/>
      <c r="F34" s="84"/>
      <c r="H34" s="110"/>
      <c r="K34" s="75"/>
      <c r="L34" s="75"/>
      <c r="M34" s="75"/>
      <c r="O34" s="76"/>
      <c r="P34" s="76"/>
      <c r="Q34" s="76"/>
    </row>
    <row r="35" spans="1:26" ht="13.5" customHeight="1" x14ac:dyDescent="0.2">
      <c r="A35" s="85"/>
      <c r="B35" s="98"/>
      <c r="C35" s="87"/>
      <c r="D35" s="122"/>
      <c r="E35" s="122"/>
      <c r="F35" s="84"/>
      <c r="K35" s="75"/>
      <c r="L35" s="75"/>
      <c r="M35" s="75"/>
      <c r="O35" s="76"/>
      <c r="P35" s="76"/>
      <c r="Q35" s="76"/>
    </row>
    <row r="36" spans="1:26" ht="13.5" customHeight="1" x14ac:dyDescent="0.2">
      <c r="A36" s="85" t="s">
        <v>1</v>
      </c>
      <c r="B36" s="86" t="s">
        <v>121</v>
      </c>
      <c r="C36" s="87">
        <v>2.9999999999999997E-4</v>
      </c>
      <c r="D36" s="99" t="s">
        <v>117</v>
      </c>
      <c r="E36" s="122"/>
      <c r="F36" s="84"/>
      <c r="H36" s="125"/>
      <c r="I36" s="126"/>
      <c r="K36" s="75"/>
      <c r="L36" s="75"/>
      <c r="M36" s="75"/>
      <c r="O36" s="76"/>
      <c r="P36" s="76"/>
      <c r="Q36" s="76"/>
    </row>
    <row r="37" spans="1:26" ht="13.5" customHeight="1" x14ac:dyDescent="0.2">
      <c r="A37" s="85"/>
      <c r="B37" s="122" t="s">
        <v>116</v>
      </c>
      <c r="C37" s="102"/>
      <c r="D37" s="122"/>
      <c r="E37" s="122"/>
      <c r="F37" s="84"/>
      <c r="K37" s="75"/>
      <c r="L37" s="75"/>
      <c r="M37" s="75"/>
      <c r="O37" s="76"/>
      <c r="P37" s="76"/>
      <c r="Q37" s="76"/>
    </row>
    <row r="38" spans="1:26" ht="13.5" customHeight="1" x14ac:dyDescent="0.2">
      <c r="A38" s="85"/>
      <c r="B38" s="172" t="s">
        <v>137</v>
      </c>
      <c r="C38" s="102"/>
      <c r="D38" s="122"/>
      <c r="E38" s="122"/>
      <c r="F38" s="84"/>
      <c r="K38" s="75"/>
      <c r="L38" s="75"/>
      <c r="M38" s="75"/>
      <c r="O38" s="76"/>
      <c r="P38" s="76"/>
      <c r="Q38" s="76"/>
    </row>
    <row r="39" spans="1:26" ht="13.5" customHeight="1" x14ac:dyDescent="0.2">
      <c r="A39" s="85"/>
      <c r="B39" s="172" t="s">
        <v>138</v>
      </c>
      <c r="C39" s="102"/>
      <c r="D39" s="122"/>
      <c r="E39" s="122"/>
      <c r="F39" s="84"/>
      <c r="K39" s="75"/>
      <c r="L39" s="75"/>
      <c r="M39" s="75"/>
      <c r="O39" s="76"/>
      <c r="P39" s="76"/>
      <c r="Q39" s="76"/>
    </row>
    <row r="40" spans="1:26" ht="13.5" customHeight="1" x14ac:dyDescent="0.2">
      <c r="A40" s="85"/>
      <c r="B40" s="98"/>
      <c r="C40" s="87"/>
      <c r="D40" s="122"/>
      <c r="E40" s="122"/>
      <c r="F40" s="84"/>
      <c r="K40" s="75"/>
      <c r="L40" s="75"/>
      <c r="M40" s="75"/>
      <c r="O40" s="76"/>
      <c r="P40" s="76"/>
      <c r="Q40" s="76"/>
    </row>
    <row r="41" spans="1:26" ht="13.5" customHeight="1" x14ac:dyDescent="0.2">
      <c r="A41" s="238" t="s">
        <v>2</v>
      </c>
      <c r="B41" s="239" t="s">
        <v>122</v>
      </c>
      <c r="C41" s="240">
        <f>0.24%*0.8</f>
        <v>1.9199999999999998E-3</v>
      </c>
      <c r="D41" s="241"/>
      <c r="E41" s="242"/>
      <c r="F41" s="243"/>
      <c r="G41" s="73">
        <v>0.24</v>
      </c>
      <c r="H41" s="101"/>
      <c r="K41" s="75"/>
      <c r="L41" s="75"/>
      <c r="M41" s="75"/>
      <c r="O41" s="76"/>
      <c r="P41" s="76"/>
      <c r="Q41" s="76"/>
    </row>
    <row r="42" spans="1:26" ht="13.5" customHeight="1" x14ac:dyDescent="0.2">
      <c r="A42" s="85"/>
      <c r="B42" s="98"/>
      <c r="C42" s="87"/>
      <c r="D42" s="122"/>
      <c r="E42" s="122"/>
      <c r="F42" s="84"/>
      <c r="K42" s="75"/>
      <c r="L42" s="75"/>
      <c r="M42" s="75"/>
      <c r="O42" s="76"/>
      <c r="P42" s="76"/>
      <c r="Q42" s="76"/>
    </row>
    <row r="43" spans="1:26" ht="13.5" customHeight="1" x14ac:dyDescent="0.2">
      <c r="A43" s="85" t="s">
        <v>3</v>
      </c>
      <c r="B43" s="86" t="s">
        <v>89</v>
      </c>
      <c r="C43" s="87">
        <v>1.6000000000000001E-3</v>
      </c>
      <c r="D43" s="122"/>
      <c r="E43" s="122"/>
      <c r="F43" s="84"/>
      <c r="H43" s="101"/>
      <c r="K43" s="75"/>
      <c r="L43" s="75"/>
      <c r="M43" s="75"/>
      <c r="O43" s="76"/>
      <c r="P43" s="76"/>
      <c r="Q43" s="76"/>
    </row>
    <row r="44" spans="1:26" ht="13.5" customHeight="1" x14ac:dyDescent="0.2">
      <c r="A44" s="109"/>
      <c r="B44" s="97" t="s">
        <v>118</v>
      </c>
      <c r="C44" s="87"/>
      <c r="D44" s="122"/>
      <c r="E44" s="122"/>
      <c r="F44" s="84"/>
      <c r="H44" s="95"/>
      <c r="K44" s="75"/>
      <c r="L44" s="75"/>
      <c r="M44" s="75"/>
      <c r="O44" s="76"/>
      <c r="P44" s="76"/>
      <c r="Q44" s="76"/>
    </row>
    <row r="45" spans="1:26" ht="13.5" customHeight="1" x14ac:dyDescent="0.2">
      <c r="A45" s="85"/>
      <c r="B45" s="97" t="s">
        <v>123</v>
      </c>
      <c r="C45" s="87"/>
      <c r="D45" s="122"/>
      <c r="E45" s="122"/>
      <c r="F45" s="84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spans="1:26" ht="13.5" customHeight="1" x14ac:dyDescent="0.2">
      <c r="A46" s="85"/>
      <c r="B46" s="97" t="s">
        <v>150</v>
      </c>
      <c r="C46" s="87"/>
      <c r="D46" s="122"/>
      <c r="E46" s="122"/>
      <c r="F46" s="84"/>
      <c r="K46" s="75"/>
      <c r="L46" s="75"/>
      <c r="M46" s="75"/>
      <c r="O46" s="76"/>
      <c r="P46" s="76"/>
      <c r="Q46" s="76"/>
    </row>
    <row r="47" spans="1:26" ht="13.5" customHeight="1" x14ac:dyDescent="0.2">
      <c r="A47" s="85"/>
      <c r="B47" s="97" t="s">
        <v>116</v>
      </c>
      <c r="C47" s="87"/>
      <c r="D47" s="122"/>
      <c r="E47" s="122"/>
      <c r="F47" s="84"/>
      <c r="K47" s="75"/>
      <c r="L47" s="75"/>
      <c r="M47" s="75"/>
      <c r="O47" s="76"/>
      <c r="P47" s="76"/>
      <c r="Q47" s="76"/>
    </row>
    <row r="48" spans="1:26" ht="13.5" customHeight="1" x14ac:dyDescent="0.2">
      <c r="A48" s="85"/>
      <c r="B48" s="98" t="s">
        <v>151</v>
      </c>
      <c r="C48" s="87"/>
      <c r="D48" s="122"/>
      <c r="E48" s="122"/>
      <c r="F48" s="84"/>
      <c r="K48" s="75"/>
      <c r="L48" s="75"/>
      <c r="M48" s="75"/>
      <c r="O48" s="76"/>
      <c r="P48" s="76"/>
      <c r="Q48" s="76"/>
    </row>
    <row r="49" spans="1:17" ht="13.5" customHeight="1" x14ac:dyDescent="0.2">
      <c r="A49" s="85"/>
      <c r="B49" s="98" t="s">
        <v>152</v>
      </c>
      <c r="C49" s="87"/>
      <c r="D49" s="122"/>
      <c r="E49" s="122"/>
      <c r="F49" s="84"/>
      <c r="K49" s="75"/>
      <c r="L49" s="75"/>
      <c r="M49" s="75"/>
      <c r="O49" s="76"/>
      <c r="P49" s="76"/>
      <c r="Q49" s="76"/>
    </row>
    <row r="50" spans="1:17" ht="13.5" customHeight="1" x14ac:dyDescent="0.2">
      <c r="A50" s="85"/>
      <c r="B50" s="98" t="s">
        <v>153</v>
      </c>
      <c r="C50" s="87"/>
      <c r="D50" s="122"/>
      <c r="E50" s="122"/>
      <c r="F50" s="84"/>
      <c r="K50" s="75"/>
      <c r="L50" s="75"/>
      <c r="M50" s="75"/>
      <c r="O50" s="76"/>
      <c r="P50" s="76"/>
      <c r="Q50" s="76"/>
    </row>
    <row r="51" spans="1:17" ht="13.5" customHeight="1" x14ac:dyDescent="0.2">
      <c r="A51" s="85"/>
      <c r="B51" s="98" t="s">
        <v>154</v>
      </c>
      <c r="C51" s="87"/>
      <c r="D51" s="122"/>
      <c r="E51" s="122"/>
      <c r="F51" s="84"/>
      <c r="K51" s="75"/>
      <c r="L51" s="75"/>
      <c r="M51" s="75"/>
      <c r="O51" s="76"/>
      <c r="P51" s="76"/>
      <c r="Q51" s="76"/>
    </row>
    <row r="52" spans="1:17" ht="13.5" customHeight="1" x14ac:dyDescent="0.2">
      <c r="A52" s="85"/>
      <c r="B52" s="98"/>
      <c r="C52" s="87"/>
      <c r="D52" s="122"/>
      <c r="E52" s="122"/>
      <c r="F52" s="84"/>
      <c r="K52" s="75"/>
      <c r="L52" s="75"/>
      <c r="M52" s="75"/>
      <c r="O52" s="76"/>
      <c r="P52" s="76"/>
      <c r="Q52" s="76"/>
    </row>
    <row r="53" spans="1:17" ht="13.5" customHeight="1" x14ac:dyDescent="0.2">
      <c r="A53" s="85" t="s">
        <v>4</v>
      </c>
      <c r="B53" s="86" t="s">
        <v>124</v>
      </c>
      <c r="C53" s="87">
        <v>5.9999999999999995E-4</v>
      </c>
      <c r="D53" s="99" t="s">
        <v>117</v>
      </c>
      <c r="E53" s="122"/>
      <c r="F53" s="84"/>
      <c r="K53" s="75"/>
      <c r="L53" s="75"/>
      <c r="M53" s="75"/>
      <c r="O53" s="76"/>
      <c r="P53" s="76"/>
      <c r="Q53" s="76"/>
    </row>
    <row r="54" spans="1:17" ht="13.5" customHeight="1" x14ac:dyDescent="0.2">
      <c r="A54" s="85"/>
      <c r="B54" s="98"/>
      <c r="C54" s="87"/>
      <c r="D54" s="122"/>
      <c r="E54" s="122"/>
      <c r="F54" s="84"/>
      <c r="K54" s="75"/>
      <c r="L54" s="75"/>
      <c r="M54" s="75"/>
      <c r="O54" s="76"/>
      <c r="P54" s="76"/>
      <c r="Q54" s="76"/>
    </row>
    <row r="55" spans="1:17" ht="13.5" customHeight="1" x14ac:dyDescent="0.2">
      <c r="A55" s="238" t="s">
        <v>5</v>
      </c>
      <c r="B55" s="239" t="s">
        <v>125</v>
      </c>
      <c r="C55" s="240">
        <f>4.76*0.8%</f>
        <v>3.8079999999999996E-2</v>
      </c>
      <c r="D55" s="241"/>
      <c r="E55" s="242"/>
      <c r="F55" s="243"/>
      <c r="G55" s="73">
        <v>4.76</v>
      </c>
      <c r="H55" s="101"/>
      <c r="K55" s="75"/>
      <c r="L55" s="75"/>
      <c r="M55" s="75"/>
      <c r="O55" s="76"/>
      <c r="P55" s="76"/>
      <c r="Q55" s="76"/>
    </row>
    <row r="56" spans="1:17" ht="13.5" customHeight="1" thickBot="1" x14ac:dyDescent="0.25">
      <c r="A56" s="100"/>
      <c r="B56" s="204"/>
      <c r="C56" s="93"/>
      <c r="D56" s="93"/>
      <c r="E56" s="93"/>
      <c r="F56" s="94"/>
      <c r="K56" s="75"/>
      <c r="L56" s="75"/>
      <c r="M56" s="75"/>
      <c r="O56" s="76"/>
      <c r="P56" s="76"/>
      <c r="Q56" s="76"/>
    </row>
    <row r="57" spans="1:17" ht="13.5" customHeight="1" thickBot="1" x14ac:dyDescent="0.25">
      <c r="A57" s="77"/>
      <c r="B57" s="77"/>
      <c r="C57" s="77"/>
      <c r="D57" s="77"/>
      <c r="E57" s="77"/>
      <c r="F57" s="77"/>
      <c r="K57" s="75"/>
      <c r="L57" s="75"/>
      <c r="M57" s="75"/>
      <c r="O57" s="76"/>
      <c r="P57" s="76"/>
      <c r="Q57" s="76"/>
    </row>
    <row r="58" spans="1:17" ht="13.5" customHeight="1" x14ac:dyDescent="0.2">
      <c r="A58" s="78" t="s">
        <v>92</v>
      </c>
      <c r="B58" s="79"/>
      <c r="C58" s="80">
        <v>3.4099999999999998E-2</v>
      </c>
      <c r="D58" s="79"/>
      <c r="E58" s="79"/>
      <c r="F58" s="81"/>
      <c r="K58" s="75"/>
      <c r="L58" s="75"/>
      <c r="M58" s="75"/>
      <c r="O58" s="76"/>
      <c r="P58" s="76"/>
      <c r="Q58" s="76"/>
    </row>
    <row r="59" spans="1:17" ht="13.5" customHeight="1" x14ac:dyDescent="0.2">
      <c r="A59" s="107" t="s">
        <v>93</v>
      </c>
      <c r="B59" s="122"/>
      <c r="C59" s="106"/>
      <c r="D59" s="122"/>
      <c r="E59" s="122"/>
      <c r="F59" s="84"/>
      <c r="K59" s="75"/>
      <c r="L59" s="75"/>
      <c r="M59" s="75"/>
      <c r="O59" s="76"/>
      <c r="P59" s="76"/>
      <c r="Q59" s="76"/>
    </row>
    <row r="60" spans="1:17" ht="13.5" customHeight="1" x14ac:dyDescent="0.2">
      <c r="A60" s="82"/>
      <c r="B60" s="122"/>
      <c r="C60" s="122"/>
      <c r="D60" s="122"/>
      <c r="E60" s="122"/>
      <c r="F60" s="84"/>
      <c r="K60" s="75"/>
      <c r="L60" s="75"/>
      <c r="M60" s="75"/>
      <c r="O60" s="76"/>
      <c r="P60" s="76"/>
      <c r="Q60" s="76"/>
    </row>
    <row r="61" spans="1:17" ht="13.5" customHeight="1" x14ac:dyDescent="0.2">
      <c r="A61" s="85" t="s">
        <v>0</v>
      </c>
      <c r="B61" s="86" t="s">
        <v>94</v>
      </c>
      <c r="C61" s="87">
        <v>1.01E-2</v>
      </c>
      <c r="D61" s="122"/>
      <c r="E61" s="122"/>
      <c r="F61" s="84"/>
      <c r="H61" s="89"/>
      <c r="K61" s="75"/>
      <c r="L61" s="75"/>
      <c r="M61" s="75"/>
      <c r="O61" s="76"/>
      <c r="P61" s="76"/>
      <c r="Q61" s="76"/>
    </row>
    <row r="62" spans="1:17" ht="13.5" customHeight="1" x14ac:dyDescent="0.2">
      <c r="A62" s="85"/>
      <c r="B62" s="97" t="s">
        <v>116</v>
      </c>
      <c r="C62" s="102"/>
      <c r="D62" s="122"/>
      <c r="E62" s="122"/>
      <c r="F62" s="84"/>
      <c r="K62" s="75"/>
      <c r="L62" s="75"/>
      <c r="M62" s="75"/>
      <c r="O62" s="76"/>
      <c r="P62" s="76"/>
      <c r="Q62" s="76"/>
    </row>
    <row r="63" spans="1:17" ht="13.5" customHeight="1" x14ac:dyDescent="0.2">
      <c r="A63" s="85"/>
      <c r="B63" s="98" t="s">
        <v>168</v>
      </c>
      <c r="C63" s="102"/>
      <c r="D63" s="122"/>
      <c r="E63" s="122"/>
      <c r="F63" s="84"/>
      <c r="K63" s="75"/>
      <c r="L63" s="75"/>
      <c r="M63" s="75"/>
      <c r="O63" s="76"/>
      <c r="P63" s="76"/>
      <c r="Q63" s="76"/>
    </row>
    <row r="64" spans="1:17" ht="13.5" customHeight="1" x14ac:dyDescent="0.2">
      <c r="A64" s="85"/>
      <c r="B64" s="98" t="s">
        <v>169</v>
      </c>
      <c r="C64" s="102"/>
      <c r="D64" s="122"/>
      <c r="E64" s="122"/>
      <c r="F64" s="84"/>
      <c r="K64" s="75"/>
      <c r="L64" s="75"/>
      <c r="M64" s="75"/>
      <c r="O64" s="76"/>
      <c r="P64" s="76"/>
      <c r="Q64" s="76"/>
    </row>
    <row r="65" spans="1:26" ht="13.5" customHeight="1" x14ac:dyDescent="0.2">
      <c r="A65" s="85"/>
      <c r="B65" s="98" t="s">
        <v>170</v>
      </c>
      <c r="C65" s="102"/>
      <c r="D65" s="122"/>
      <c r="E65" s="122"/>
      <c r="F65" s="84"/>
      <c r="H65" s="110"/>
      <c r="K65" s="75"/>
      <c r="L65" s="75"/>
      <c r="M65" s="75"/>
      <c r="O65" s="76"/>
      <c r="P65" s="76"/>
      <c r="Q65" s="76"/>
    </row>
    <row r="66" spans="1:26" ht="13.5" customHeight="1" x14ac:dyDescent="0.2">
      <c r="A66" s="85"/>
      <c r="B66" s="98"/>
      <c r="C66" s="87"/>
      <c r="D66" s="122"/>
      <c r="E66" s="122"/>
      <c r="F66" s="84"/>
      <c r="K66" s="75"/>
      <c r="L66" s="75"/>
      <c r="M66" s="75"/>
      <c r="O66" s="76"/>
      <c r="P66" s="76"/>
      <c r="Q66" s="76"/>
    </row>
    <row r="67" spans="1:26" ht="13.5" customHeight="1" x14ac:dyDescent="0.2">
      <c r="A67" s="85" t="s">
        <v>1</v>
      </c>
      <c r="B67" s="86" t="s">
        <v>95</v>
      </c>
      <c r="C67" s="87">
        <v>5.5999999999999999E-3</v>
      </c>
      <c r="D67" s="122"/>
      <c r="E67" s="122"/>
      <c r="F67" s="84"/>
      <c r="H67" s="89"/>
      <c r="K67" s="75"/>
      <c r="L67" s="75"/>
      <c r="M67" s="75"/>
      <c r="O67" s="76"/>
      <c r="P67" s="76"/>
      <c r="Q67" s="76"/>
    </row>
    <row r="68" spans="1:26" ht="13.5" customHeight="1" x14ac:dyDescent="0.2">
      <c r="A68" s="85"/>
      <c r="B68" s="97" t="s">
        <v>118</v>
      </c>
      <c r="C68" s="87"/>
      <c r="D68" s="122"/>
      <c r="E68" s="122"/>
      <c r="F68" s="84"/>
      <c r="H68" s="95"/>
      <c r="I68" s="108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ht="13.5" customHeight="1" x14ac:dyDescent="0.2">
      <c r="A69" s="85"/>
      <c r="B69" s="97" t="s">
        <v>171</v>
      </c>
      <c r="C69" s="87"/>
      <c r="D69" s="122"/>
      <c r="E69" s="122"/>
      <c r="F69" s="84"/>
      <c r="K69" s="75"/>
      <c r="L69" s="75"/>
      <c r="M69" s="75"/>
      <c r="O69" s="76"/>
      <c r="P69" s="76"/>
      <c r="Q69" s="76"/>
    </row>
    <row r="70" spans="1:26" ht="13.5" customHeight="1" x14ac:dyDescent="0.2">
      <c r="A70" s="85"/>
      <c r="B70" s="97" t="s">
        <v>116</v>
      </c>
      <c r="C70" s="87"/>
      <c r="D70" s="122"/>
      <c r="E70" s="122"/>
      <c r="F70" s="84"/>
      <c r="K70" s="75"/>
      <c r="L70" s="75"/>
      <c r="M70" s="75"/>
      <c r="O70" s="76"/>
      <c r="P70" s="76"/>
      <c r="Q70" s="76"/>
    </row>
    <row r="71" spans="1:26" ht="13.5" customHeight="1" x14ac:dyDescent="0.2">
      <c r="A71" s="85"/>
      <c r="B71" s="98" t="s">
        <v>177</v>
      </c>
      <c r="C71" s="87"/>
      <c r="D71" s="122"/>
      <c r="E71" s="122"/>
      <c r="F71" s="84"/>
      <c r="H71" s="110"/>
      <c r="K71" s="75"/>
      <c r="L71" s="75"/>
      <c r="M71" s="75"/>
      <c r="O71" s="76"/>
      <c r="P71" s="76"/>
      <c r="Q71" s="76"/>
    </row>
    <row r="72" spans="1:26" ht="13.5" customHeight="1" x14ac:dyDescent="0.2">
      <c r="A72" s="85"/>
      <c r="B72" s="98" t="s">
        <v>178</v>
      </c>
      <c r="C72" s="87"/>
      <c r="D72" s="122"/>
      <c r="E72" s="122"/>
      <c r="F72" s="84"/>
      <c r="K72" s="75"/>
      <c r="L72" s="75"/>
      <c r="M72" s="75"/>
      <c r="O72" s="76"/>
      <c r="P72" s="76"/>
      <c r="Q72" s="76"/>
    </row>
    <row r="73" spans="1:26" ht="13.5" customHeight="1" x14ac:dyDescent="0.2">
      <c r="A73" s="85"/>
      <c r="B73" s="98" t="s">
        <v>179</v>
      </c>
      <c r="C73" s="87"/>
      <c r="D73" s="122"/>
      <c r="E73" s="122"/>
      <c r="F73" s="84"/>
      <c r="K73" s="75"/>
      <c r="L73" s="75"/>
      <c r="M73" s="75"/>
      <c r="O73" s="76"/>
      <c r="P73" s="76"/>
      <c r="Q73" s="76"/>
    </row>
    <row r="74" spans="1:26" ht="13.5" customHeight="1" x14ac:dyDescent="0.2">
      <c r="A74" s="85"/>
      <c r="B74" s="98" t="s">
        <v>180</v>
      </c>
      <c r="C74" s="87"/>
      <c r="D74" s="122"/>
      <c r="E74" s="122"/>
      <c r="F74" s="84"/>
      <c r="K74" s="75"/>
      <c r="L74" s="75"/>
      <c r="M74" s="75"/>
      <c r="O74" s="76"/>
      <c r="P74" s="76"/>
      <c r="Q74" s="76"/>
    </row>
    <row r="75" spans="1:26" ht="13.5" customHeight="1" x14ac:dyDescent="0.2">
      <c r="A75" s="85"/>
      <c r="B75" s="98"/>
      <c r="C75" s="87"/>
      <c r="D75" s="122"/>
      <c r="E75" s="122"/>
      <c r="F75" s="84"/>
      <c r="K75" s="75"/>
      <c r="L75" s="75"/>
      <c r="M75" s="75"/>
      <c r="O75" s="76"/>
      <c r="P75" s="76"/>
      <c r="Q75" s="76"/>
    </row>
    <row r="76" spans="1:26" ht="13.5" customHeight="1" x14ac:dyDescent="0.2">
      <c r="A76" s="85" t="s">
        <v>2</v>
      </c>
      <c r="B76" s="86" t="s">
        <v>139</v>
      </c>
      <c r="C76" s="87">
        <v>1.3899999999999999E-2</v>
      </c>
      <c r="D76" s="122"/>
      <c r="E76" s="122"/>
      <c r="F76" s="84"/>
      <c r="H76" s="89"/>
      <c r="K76" s="75"/>
      <c r="L76" s="75"/>
      <c r="M76" s="75"/>
      <c r="O76" s="76"/>
      <c r="P76" s="76"/>
      <c r="Q76" s="76"/>
    </row>
    <row r="77" spans="1:26" ht="13.5" customHeight="1" x14ac:dyDescent="0.2">
      <c r="A77" s="85"/>
      <c r="B77" s="97" t="s">
        <v>172</v>
      </c>
      <c r="C77" s="87"/>
      <c r="D77" s="122"/>
      <c r="E77" s="122"/>
      <c r="F77" s="84"/>
      <c r="H77" s="95"/>
      <c r="I77" s="108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spans="1:26" ht="13.5" customHeight="1" x14ac:dyDescent="0.2">
      <c r="A78" s="85"/>
      <c r="B78" s="97" t="s">
        <v>116</v>
      </c>
      <c r="C78" s="87"/>
      <c r="D78" s="122"/>
      <c r="E78" s="122"/>
      <c r="F78" s="84"/>
      <c r="K78" s="75"/>
      <c r="L78" s="75"/>
      <c r="M78" s="75"/>
      <c r="O78" s="76"/>
      <c r="P78" s="76"/>
      <c r="Q78" s="76"/>
    </row>
    <row r="79" spans="1:26" ht="13.5" customHeight="1" x14ac:dyDescent="0.2">
      <c r="A79" s="85"/>
      <c r="B79" s="97" t="s">
        <v>173</v>
      </c>
      <c r="C79" s="87"/>
      <c r="D79" s="122"/>
      <c r="E79" s="122"/>
      <c r="F79" s="84"/>
      <c r="K79" s="75"/>
      <c r="L79" s="75"/>
      <c r="M79" s="75"/>
      <c r="O79" s="76"/>
      <c r="P79" s="76"/>
      <c r="Q79" s="76"/>
    </row>
    <row r="80" spans="1:26" ht="13.5" customHeight="1" x14ac:dyDescent="0.2">
      <c r="A80" s="85"/>
      <c r="B80" s="98" t="s">
        <v>174</v>
      </c>
      <c r="C80" s="87"/>
      <c r="D80" s="122"/>
      <c r="E80" s="122"/>
      <c r="F80" s="84"/>
      <c r="H80" s="110"/>
      <c r="K80" s="75"/>
      <c r="L80" s="75"/>
      <c r="M80" s="75"/>
      <c r="O80" s="76"/>
      <c r="P80" s="76"/>
      <c r="Q80" s="76"/>
    </row>
    <row r="81" spans="1:26" ht="13.5" customHeight="1" x14ac:dyDescent="0.2">
      <c r="A81" s="85"/>
      <c r="B81" s="98" t="s">
        <v>175</v>
      </c>
      <c r="C81" s="87"/>
      <c r="D81" s="122"/>
      <c r="E81" s="122"/>
      <c r="F81" s="84"/>
      <c r="K81" s="75"/>
      <c r="L81" s="75"/>
      <c r="M81" s="75"/>
      <c r="O81" s="76"/>
      <c r="P81" s="76"/>
      <c r="Q81" s="76"/>
    </row>
    <row r="82" spans="1:26" ht="13.5" customHeight="1" x14ac:dyDescent="0.2">
      <c r="A82" s="85"/>
      <c r="B82" s="98" t="s">
        <v>176</v>
      </c>
      <c r="C82" s="87"/>
      <c r="D82" s="122"/>
      <c r="E82" s="122"/>
      <c r="F82" s="84"/>
      <c r="K82" s="75"/>
      <c r="L82" s="75"/>
      <c r="M82" s="75"/>
      <c r="O82" s="76"/>
      <c r="P82" s="76"/>
      <c r="Q82" s="76"/>
    </row>
    <row r="83" spans="1:26" ht="13.5" customHeight="1" x14ac:dyDescent="0.2">
      <c r="A83" s="85"/>
      <c r="B83" s="98"/>
      <c r="C83" s="87"/>
      <c r="D83" s="122"/>
      <c r="E83" s="122"/>
      <c r="F83" s="84"/>
      <c r="K83" s="75"/>
      <c r="L83" s="75"/>
      <c r="M83" s="75"/>
      <c r="O83" s="76"/>
      <c r="P83" s="76"/>
      <c r="Q83" s="76"/>
    </row>
    <row r="84" spans="1:26" ht="13.5" customHeight="1" x14ac:dyDescent="0.2">
      <c r="A84" s="85" t="s">
        <v>3</v>
      </c>
      <c r="B84" s="86" t="s">
        <v>96</v>
      </c>
      <c r="C84" s="87">
        <v>1.6999999999999999E-3</v>
      </c>
      <c r="D84" s="99"/>
      <c r="E84" s="122"/>
      <c r="F84" s="84"/>
      <c r="H84" s="89"/>
      <c r="K84" s="75"/>
      <c r="L84" s="75"/>
      <c r="M84" s="75"/>
      <c r="O84" s="76"/>
      <c r="P84" s="76"/>
      <c r="Q84" s="76"/>
    </row>
    <row r="85" spans="1:26" ht="13.5" customHeight="1" x14ac:dyDescent="0.2">
      <c r="A85" s="85"/>
      <c r="B85" s="97" t="s">
        <v>118</v>
      </c>
      <c r="C85" s="97"/>
      <c r="D85" s="122"/>
      <c r="E85" s="122"/>
      <c r="F85" s="84"/>
      <c r="H85" s="95"/>
      <c r="I85" s="96"/>
      <c r="K85" s="75"/>
      <c r="L85" s="75"/>
      <c r="M85" s="75"/>
      <c r="O85" s="76"/>
      <c r="P85" s="76"/>
      <c r="Q85" s="76"/>
    </row>
    <row r="86" spans="1:26" ht="13.5" customHeight="1" x14ac:dyDescent="0.2">
      <c r="A86" s="85"/>
      <c r="B86" s="97" t="s">
        <v>126</v>
      </c>
      <c r="C86" s="97"/>
      <c r="D86" s="122"/>
      <c r="E86" s="122"/>
      <c r="F86" s="84"/>
      <c r="K86" s="75"/>
      <c r="L86" s="75"/>
      <c r="M86" s="75"/>
      <c r="O86" s="76"/>
      <c r="P86" s="76"/>
      <c r="Q86" s="76"/>
    </row>
    <row r="87" spans="1:26" ht="13.5" customHeight="1" x14ac:dyDescent="0.2">
      <c r="A87" s="85"/>
      <c r="B87" s="97" t="s">
        <v>127</v>
      </c>
      <c r="C87" s="97"/>
      <c r="D87" s="122"/>
      <c r="E87" s="122"/>
      <c r="F87" s="84"/>
      <c r="K87" s="75"/>
      <c r="L87" s="75"/>
      <c r="M87" s="75"/>
      <c r="O87" s="76"/>
      <c r="P87" s="76"/>
      <c r="Q87" s="76"/>
    </row>
    <row r="88" spans="1:26" ht="13.5" customHeight="1" x14ac:dyDescent="0.2">
      <c r="A88" s="85"/>
      <c r="B88" s="98" t="s">
        <v>128</v>
      </c>
      <c r="C88" s="98"/>
      <c r="D88" s="122"/>
      <c r="E88" s="122"/>
      <c r="F88" s="84"/>
      <c r="K88" s="75"/>
      <c r="L88" s="75"/>
      <c r="M88" s="75"/>
      <c r="O88" s="76"/>
      <c r="P88" s="76"/>
      <c r="Q88" s="76"/>
    </row>
    <row r="89" spans="1:26" ht="13.5" customHeight="1" x14ac:dyDescent="0.2">
      <c r="A89" s="85"/>
      <c r="B89" s="97" t="s">
        <v>116</v>
      </c>
      <c r="C89" s="97"/>
      <c r="D89" s="122"/>
      <c r="E89" s="122"/>
      <c r="F89" s="84"/>
      <c r="K89" s="75"/>
      <c r="L89" s="75"/>
      <c r="M89" s="75"/>
      <c r="O89" s="76"/>
      <c r="P89" s="76"/>
      <c r="Q89" s="76"/>
    </row>
    <row r="90" spans="1:26" ht="13.5" customHeight="1" x14ac:dyDescent="0.2">
      <c r="A90" s="85"/>
      <c r="B90" s="97" t="s">
        <v>162</v>
      </c>
      <c r="C90" s="97"/>
      <c r="D90" s="122"/>
      <c r="E90" s="122"/>
      <c r="F90" s="84"/>
      <c r="H90" s="76"/>
      <c r="I90" s="7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spans="1:26" ht="13.5" customHeight="1" x14ac:dyDescent="0.2">
      <c r="A91" s="85"/>
      <c r="B91" s="98" t="s">
        <v>163</v>
      </c>
      <c r="C91" s="98"/>
      <c r="D91" s="122"/>
      <c r="E91" s="122"/>
      <c r="F91" s="84"/>
      <c r="K91" s="75"/>
      <c r="L91" s="75"/>
      <c r="M91" s="75"/>
      <c r="O91" s="76"/>
      <c r="P91" s="76"/>
      <c r="Q91" s="76"/>
    </row>
    <row r="92" spans="1:26" ht="13.5" customHeight="1" x14ac:dyDescent="0.2">
      <c r="A92" s="85"/>
      <c r="B92" s="98" t="s">
        <v>164</v>
      </c>
      <c r="C92" s="98"/>
      <c r="D92" s="122"/>
      <c r="E92" s="122"/>
      <c r="F92" s="84"/>
      <c r="K92" s="75"/>
      <c r="L92" s="75"/>
      <c r="M92" s="75"/>
      <c r="O92" s="76"/>
      <c r="P92" s="76"/>
      <c r="Q92" s="76"/>
    </row>
    <row r="93" spans="1:26" ht="13.5" customHeight="1" x14ac:dyDescent="0.2">
      <c r="A93" s="85"/>
      <c r="B93" s="98" t="s">
        <v>165</v>
      </c>
      <c r="C93" s="98"/>
      <c r="D93" s="122"/>
      <c r="E93" s="122"/>
      <c r="F93" s="84"/>
      <c r="K93" s="75"/>
      <c r="L93" s="75"/>
      <c r="M93" s="75"/>
      <c r="O93" s="76"/>
      <c r="P93" s="76"/>
      <c r="Q93" s="76"/>
    </row>
    <row r="94" spans="1:26" ht="13.5" customHeight="1" x14ac:dyDescent="0.2">
      <c r="A94" s="85"/>
      <c r="B94" s="98" t="s">
        <v>166</v>
      </c>
      <c r="C94" s="98"/>
      <c r="D94" s="122"/>
      <c r="E94" s="122"/>
      <c r="F94" s="84"/>
      <c r="K94" s="75"/>
      <c r="L94" s="75"/>
      <c r="M94" s="75"/>
      <c r="O94" s="76"/>
      <c r="P94" s="76"/>
      <c r="Q94" s="76"/>
    </row>
    <row r="95" spans="1:26" ht="13.5" customHeight="1" x14ac:dyDescent="0.2">
      <c r="A95" s="85"/>
      <c r="B95" s="98" t="s">
        <v>167</v>
      </c>
      <c r="C95" s="98"/>
      <c r="D95" s="122"/>
      <c r="E95" s="122"/>
      <c r="F95" s="84"/>
      <c r="K95" s="75"/>
      <c r="L95" s="75"/>
      <c r="M95" s="75"/>
      <c r="O95" s="76"/>
      <c r="P95" s="76"/>
      <c r="Q95" s="76"/>
    </row>
    <row r="96" spans="1:26" ht="13.5" customHeight="1" x14ac:dyDescent="0.2">
      <c r="A96" s="85"/>
      <c r="B96" s="98"/>
      <c r="C96" s="87"/>
      <c r="D96" s="122"/>
      <c r="E96" s="122"/>
      <c r="F96" s="84"/>
      <c r="K96" s="75"/>
      <c r="L96" s="75"/>
      <c r="M96" s="75"/>
      <c r="O96" s="76"/>
      <c r="P96" s="76"/>
      <c r="Q96" s="76"/>
    </row>
    <row r="97" spans="1:26" ht="13.5" customHeight="1" x14ac:dyDescent="0.2">
      <c r="A97" s="85" t="s">
        <v>4</v>
      </c>
      <c r="B97" s="86" t="s">
        <v>29</v>
      </c>
      <c r="C97" s="87">
        <v>2.0999999999999999E-3</v>
      </c>
      <c r="D97" s="99"/>
      <c r="E97" s="122"/>
      <c r="F97" s="84"/>
      <c r="H97" s="89"/>
      <c r="K97" s="75"/>
      <c r="L97" s="75"/>
      <c r="M97" s="75"/>
      <c r="O97" s="76"/>
      <c r="P97" s="76"/>
      <c r="Q97" s="76"/>
    </row>
    <row r="98" spans="1:26" ht="13.5" customHeight="1" x14ac:dyDescent="0.2">
      <c r="A98" s="85"/>
      <c r="B98" s="97" t="s">
        <v>118</v>
      </c>
      <c r="C98" s="87"/>
      <c r="D98" s="122"/>
      <c r="E98" s="122"/>
      <c r="F98" s="84"/>
      <c r="H98" s="95"/>
      <c r="I98" s="96"/>
      <c r="K98" s="75"/>
      <c r="L98" s="75"/>
      <c r="M98" s="75"/>
      <c r="O98" s="76"/>
      <c r="P98" s="76"/>
      <c r="Q98" s="76"/>
    </row>
    <row r="99" spans="1:26" ht="13.5" customHeight="1" x14ac:dyDescent="0.2">
      <c r="A99" s="85"/>
      <c r="B99" s="97" t="s">
        <v>181</v>
      </c>
      <c r="C99" s="87"/>
      <c r="D99" s="122"/>
      <c r="E99" s="122"/>
      <c r="F99" s="84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spans="1:26" ht="13.5" customHeight="1" x14ac:dyDescent="0.2">
      <c r="A100" s="85"/>
      <c r="B100" s="97" t="s">
        <v>116</v>
      </c>
      <c r="C100" s="87"/>
      <c r="D100" s="122"/>
      <c r="E100" s="122"/>
      <c r="F100" s="84"/>
      <c r="K100" s="75"/>
      <c r="L100" s="75"/>
      <c r="M100" s="75"/>
      <c r="O100" s="76"/>
      <c r="P100" s="76"/>
      <c r="Q100" s="76"/>
    </row>
    <row r="101" spans="1:26" ht="13.5" customHeight="1" x14ac:dyDescent="0.2">
      <c r="A101" s="85"/>
      <c r="B101" s="98" t="s">
        <v>182</v>
      </c>
      <c r="C101" s="87"/>
      <c r="D101" s="122"/>
      <c r="E101" s="122"/>
      <c r="F101" s="84"/>
      <c r="K101" s="75"/>
      <c r="L101" s="75"/>
      <c r="M101" s="75"/>
      <c r="O101" s="76"/>
      <c r="P101" s="76"/>
      <c r="Q101" s="76"/>
    </row>
    <row r="102" spans="1:26" ht="13.5" customHeight="1" x14ac:dyDescent="0.2">
      <c r="A102" s="85"/>
      <c r="B102" s="98" t="s">
        <v>183</v>
      </c>
      <c r="C102" s="87"/>
      <c r="D102" s="122"/>
      <c r="E102" s="122"/>
      <c r="F102" s="84"/>
      <c r="K102" s="75"/>
      <c r="L102" s="75"/>
      <c r="M102" s="75"/>
      <c r="O102" s="76"/>
      <c r="P102" s="76"/>
      <c r="Q102" s="76"/>
    </row>
    <row r="103" spans="1:26" ht="13.5" customHeight="1" x14ac:dyDescent="0.2">
      <c r="A103" s="85"/>
      <c r="B103" s="98" t="s">
        <v>184</v>
      </c>
      <c r="C103" s="87"/>
      <c r="D103" s="122"/>
      <c r="E103" s="122"/>
      <c r="F103" s="84"/>
      <c r="K103" s="75"/>
      <c r="L103" s="75"/>
      <c r="M103" s="75"/>
      <c r="O103" s="76"/>
      <c r="P103" s="76"/>
      <c r="Q103" s="76"/>
    </row>
    <row r="104" spans="1:26" ht="13.5" customHeight="1" x14ac:dyDescent="0.2">
      <c r="A104" s="85"/>
      <c r="B104" s="98" t="s">
        <v>185</v>
      </c>
      <c r="C104" s="87"/>
      <c r="D104" s="122"/>
      <c r="E104" s="122"/>
      <c r="F104" s="84"/>
      <c r="K104" s="75"/>
      <c r="L104" s="75"/>
      <c r="M104" s="75"/>
      <c r="O104" s="76"/>
      <c r="P104" s="76"/>
      <c r="Q104" s="76"/>
    </row>
    <row r="105" spans="1:26" ht="13.5" customHeight="1" x14ac:dyDescent="0.2">
      <c r="A105" s="85"/>
      <c r="B105" s="98" t="s">
        <v>186</v>
      </c>
      <c r="C105" s="87"/>
      <c r="D105" s="122"/>
      <c r="E105" s="122"/>
      <c r="F105" s="84"/>
      <c r="K105" s="75"/>
      <c r="L105" s="75"/>
      <c r="M105" s="75"/>
      <c r="O105" s="76"/>
      <c r="P105" s="76"/>
      <c r="Q105" s="76"/>
    </row>
    <row r="106" spans="1:26" ht="13.5" customHeight="1" x14ac:dyDescent="0.2">
      <c r="A106" s="82"/>
      <c r="B106" s="122"/>
      <c r="C106" s="122"/>
      <c r="D106" s="122"/>
      <c r="E106" s="122"/>
      <c r="F106" s="84"/>
      <c r="K106" s="75"/>
      <c r="L106" s="75"/>
      <c r="M106" s="75"/>
      <c r="O106" s="76"/>
      <c r="P106" s="76"/>
      <c r="Q106" s="76"/>
    </row>
    <row r="107" spans="1:26" ht="13.5" customHeight="1" x14ac:dyDescent="0.2">
      <c r="A107" s="85" t="s">
        <v>5</v>
      </c>
      <c r="B107" s="86" t="s">
        <v>28</v>
      </c>
      <c r="C107" s="87">
        <v>6.9999999999999999E-4</v>
      </c>
      <c r="D107" s="122"/>
      <c r="E107" s="122"/>
      <c r="F107" s="84"/>
      <c r="H107" s="89"/>
      <c r="K107" s="75"/>
      <c r="L107" s="75"/>
      <c r="M107" s="75"/>
      <c r="O107" s="76"/>
      <c r="P107" s="76"/>
      <c r="Q107" s="76"/>
    </row>
    <row r="108" spans="1:26" ht="13.5" customHeight="1" x14ac:dyDescent="0.2">
      <c r="A108" s="85"/>
      <c r="B108" s="97" t="s">
        <v>118</v>
      </c>
      <c r="C108" s="87"/>
      <c r="D108" s="122"/>
      <c r="E108" s="122"/>
      <c r="F108" s="84"/>
      <c r="K108" s="75"/>
      <c r="L108" s="75"/>
      <c r="M108" s="75"/>
      <c r="O108" s="76"/>
      <c r="P108" s="76"/>
      <c r="Q108" s="76"/>
    </row>
    <row r="109" spans="1:26" ht="13.5" customHeight="1" x14ac:dyDescent="0.2">
      <c r="A109" s="85"/>
      <c r="B109" s="97" t="s">
        <v>119</v>
      </c>
      <c r="C109" s="87"/>
      <c r="D109" s="122"/>
      <c r="E109" s="122"/>
      <c r="F109" s="84"/>
      <c r="K109" s="75"/>
      <c r="L109" s="75"/>
      <c r="M109" s="75"/>
      <c r="O109" s="76"/>
      <c r="P109" s="76"/>
      <c r="Q109" s="76"/>
    </row>
    <row r="110" spans="1:26" x14ac:dyDescent="0.2">
      <c r="A110" s="85"/>
      <c r="B110" s="97" t="s">
        <v>158</v>
      </c>
      <c r="C110" s="87"/>
      <c r="D110" s="122"/>
      <c r="E110" s="122"/>
      <c r="F110" s="84"/>
      <c r="H110" s="95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spans="1:26" ht="13.5" customHeight="1" x14ac:dyDescent="0.2">
      <c r="A111" s="85"/>
      <c r="B111" s="97" t="s">
        <v>120</v>
      </c>
      <c r="C111" s="87"/>
      <c r="D111" s="122"/>
      <c r="E111" s="122"/>
      <c r="F111" s="84"/>
      <c r="K111" s="75"/>
      <c r="L111" s="75"/>
      <c r="M111" s="75"/>
      <c r="O111" s="76"/>
      <c r="P111" s="76"/>
      <c r="Q111" s="76"/>
    </row>
    <row r="112" spans="1:26" ht="13.5" customHeight="1" x14ac:dyDescent="0.2">
      <c r="A112" s="85"/>
      <c r="B112" s="97" t="s">
        <v>116</v>
      </c>
      <c r="C112" s="87"/>
      <c r="D112" s="122"/>
      <c r="E112" s="122"/>
      <c r="F112" s="84"/>
      <c r="K112" s="75"/>
      <c r="L112" s="75"/>
      <c r="M112" s="75"/>
      <c r="O112" s="76"/>
      <c r="P112" s="76"/>
      <c r="Q112" s="76"/>
    </row>
    <row r="113" spans="1:17" ht="13.5" customHeight="1" x14ac:dyDescent="0.2">
      <c r="A113" s="85"/>
      <c r="B113" s="98" t="s">
        <v>159</v>
      </c>
      <c r="C113" s="87"/>
      <c r="D113" s="122"/>
      <c r="E113" s="122"/>
      <c r="F113" s="84"/>
      <c r="K113" s="75"/>
      <c r="L113" s="75"/>
      <c r="M113" s="75"/>
      <c r="O113" s="76"/>
      <c r="P113" s="76"/>
      <c r="Q113" s="76"/>
    </row>
    <row r="114" spans="1:17" ht="13.5" customHeight="1" x14ac:dyDescent="0.2">
      <c r="A114" s="82"/>
      <c r="B114" s="98" t="s">
        <v>160</v>
      </c>
      <c r="C114" s="122"/>
      <c r="D114" s="122"/>
      <c r="E114" s="122"/>
      <c r="F114" s="84"/>
      <c r="K114" s="75"/>
      <c r="L114" s="75"/>
      <c r="M114" s="75"/>
      <c r="O114" s="76"/>
      <c r="P114" s="76"/>
      <c r="Q114" s="76"/>
    </row>
    <row r="115" spans="1:17" ht="13.5" customHeight="1" x14ac:dyDescent="0.2">
      <c r="A115" s="82"/>
      <c r="B115" s="98" t="s">
        <v>161</v>
      </c>
      <c r="C115" s="122"/>
      <c r="D115" s="122"/>
      <c r="E115" s="122"/>
      <c r="F115" s="84"/>
      <c r="K115" s="75"/>
      <c r="L115" s="75"/>
      <c r="M115" s="75"/>
      <c r="O115" s="76"/>
      <c r="P115" s="76"/>
      <c r="Q115" s="76"/>
    </row>
    <row r="116" spans="1:17" x14ac:dyDescent="0.2">
      <c r="A116" s="82"/>
      <c r="B116" s="122"/>
      <c r="C116" s="122"/>
      <c r="D116" s="122"/>
      <c r="E116" s="122"/>
      <c r="F116" s="84"/>
    </row>
    <row r="117" spans="1:17" ht="23.25" customHeight="1" thickBot="1" x14ac:dyDescent="0.25">
      <c r="A117" s="90" t="s">
        <v>6</v>
      </c>
      <c r="B117" s="91" t="s">
        <v>155</v>
      </c>
      <c r="C117" s="92">
        <v>9.0305919999999998E-2</v>
      </c>
      <c r="D117" s="93"/>
      <c r="E117" s="93"/>
      <c r="F117" s="94"/>
      <c r="H117" s="89"/>
      <c r="K117" s="75"/>
      <c r="L117" s="75"/>
      <c r="M117" s="75"/>
      <c r="O117" s="76"/>
      <c r="P117" s="76"/>
      <c r="Q117" s="76"/>
    </row>
    <row r="118" spans="1:17" x14ac:dyDescent="0.2">
      <c r="A118" s="122"/>
      <c r="B118" s="122"/>
      <c r="C118" s="122"/>
      <c r="D118" s="122"/>
      <c r="E118" s="122"/>
      <c r="F118" s="122"/>
    </row>
    <row r="119" spans="1:17" x14ac:dyDescent="0.2">
      <c r="C119" s="110"/>
    </row>
  </sheetData>
  <mergeCells count="2">
    <mergeCell ref="A1:F1"/>
    <mergeCell ref="D16:D23"/>
  </mergeCells>
  <printOptions horizontalCentered="1"/>
  <pageMargins left="0.59055118110236227" right="0.39370078740157483" top="1.1811023622047245" bottom="0.78740157480314965" header="0.19685039370078741" footer="0.19685039370078741"/>
  <pageSetup paperSize="9" scale="70" fitToHeight="2" orientation="portrait" r:id="rId1"/>
  <headerFooter alignWithMargins="0">
    <oddHeader>&amp;R&amp;G</oddHeader>
    <oddFooter>&amp;CLINCE SEGURANÇA PATRIMONIAL LTDA. Av. São Paulo, 1049, São Geraldo, Porto Alegre/RS&amp;R&amp;P de &amp;N</oddFooter>
  </headerFooter>
  <rowBreaks count="1" manualBreakCount="1">
    <brk id="56" max="5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tabColor theme="6"/>
  </sheetPr>
  <dimension ref="A1:I42"/>
  <sheetViews>
    <sheetView view="pageBreakPreview" zoomScaleNormal="100" zoomScaleSheetLayoutView="100" workbookViewId="0">
      <selection activeCell="M27" sqref="M27"/>
    </sheetView>
  </sheetViews>
  <sheetFormatPr defaultRowHeight="15" x14ac:dyDescent="0.2"/>
  <cols>
    <col min="1" max="1" width="9.140625" style="196"/>
    <col min="2" max="2" width="33.5703125" style="196" customWidth="1"/>
    <col min="3" max="4" width="9.28515625" style="196" bestFit="1" customWidth="1"/>
    <col min="5" max="6" width="12.140625" style="196" bestFit="1" customWidth="1"/>
    <col min="7" max="7" width="11.140625" style="196" bestFit="1" customWidth="1"/>
    <col min="8" max="8" width="9.28515625" style="196" bestFit="1" customWidth="1"/>
    <col min="9" max="9" width="9.7109375" style="196" bestFit="1" customWidth="1"/>
    <col min="10" max="16384" width="9.140625" style="196"/>
  </cols>
  <sheetData>
    <row r="1" spans="1:9" x14ac:dyDescent="0.2">
      <c r="A1" s="414" t="s">
        <v>264</v>
      </c>
      <c r="B1" s="415"/>
      <c r="C1" s="415"/>
      <c r="D1" s="415"/>
      <c r="E1" s="415"/>
      <c r="F1" s="415"/>
      <c r="G1" s="415"/>
      <c r="H1" s="416"/>
    </row>
    <row r="2" spans="1:9" ht="60" x14ac:dyDescent="0.2">
      <c r="A2" s="407" t="s">
        <v>43</v>
      </c>
      <c r="B2" s="408"/>
      <c r="C2" s="191" t="s">
        <v>265</v>
      </c>
      <c r="D2" s="191" t="s">
        <v>266</v>
      </c>
      <c r="E2" s="253" t="s">
        <v>267</v>
      </c>
      <c r="F2" s="277" t="s">
        <v>317</v>
      </c>
      <c r="G2" s="191" t="s">
        <v>268</v>
      </c>
      <c r="H2" s="197" t="s">
        <v>269</v>
      </c>
      <c r="I2" s="278" t="s">
        <v>318</v>
      </c>
    </row>
    <row r="3" spans="1:9" x14ac:dyDescent="0.2">
      <c r="A3" s="399" t="s">
        <v>270</v>
      </c>
      <c r="B3" s="400"/>
      <c r="C3" s="192">
        <v>1</v>
      </c>
      <c r="D3" s="193">
        <v>2</v>
      </c>
      <c r="E3" s="203">
        <v>25</v>
      </c>
      <c r="F3" s="203">
        <f>E3*$I$3</f>
        <v>27.515262499999999</v>
      </c>
      <c r="G3" s="194">
        <f>ROUND(F3*D3*C3,2)</f>
        <v>55.03</v>
      </c>
      <c r="H3" s="198">
        <f>ROUND(G3/12,2)</f>
        <v>4.59</v>
      </c>
      <c r="I3" s="281">
        <v>1.1006104999999999</v>
      </c>
    </row>
    <row r="4" spans="1:9" x14ac:dyDescent="0.2">
      <c r="A4" s="399" t="s">
        <v>271</v>
      </c>
      <c r="B4" s="400"/>
      <c r="C4" s="192">
        <v>1</v>
      </c>
      <c r="D4" s="193">
        <v>2</v>
      </c>
      <c r="E4" s="203">
        <v>22.5</v>
      </c>
      <c r="F4" s="203">
        <f t="shared" ref="F4:F11" si="0">E4*$I$3</f>
        <v>24.763736249999997</v>
      </c>
      <c r="G4" s="194">
        <f t="shared" ref="G4:G11" si="1">ROUND(F4*D4*C4,2)</f>
        <v>49.53</v>
      </c>
      <c r="H4" s="198">
        <f t="shared" ref="H4:H11" si="2">ROUND(G4/12,2)</f>
        <v>4.13</v>
      </c>
    </row>
    <row r="5" spans="1:9" x14ac:dyDescent="0.2">
      <c r="A5" s="399" t="s">
        <v>272</v>
      </c>
      <c r="B5" s="400"/>
      <c r="C5" s="192">
        <v>1</v>
      </c>
      <c r="D5" s="193">
        <v>1</v>
      </c>
      <c r="E5" s="203">
        <v>8</v>
      </c>
      <c r="F5" s="203">
        <f t="shared" si="0"/>
        <v>8.8048839999999995</v>
      </c>
      <c r="G5" s="194">
        <f t="shared" si="1"/>
        <v>8.8000000000000007</v>
      </c>
      <c r="H5" s="198">
        <f t="shared" si="2"/>
        <v>0.73</v>
      </c>
    </row>
    <row r="6" spans="1:9" x14ac:dyDescent="0.2">
      <c r="A6" s="399" t="s">
        <v>273</v>
      </c>
      <c r="B6" s="400"/>
      <c r="C6" s="192">
        <v>1</v>
      </c>
      <c r="D6" s="193">
        <v>1</v>
      </c>
      <c r="E6" s="203">
        <v>45</v>
      </c>
      <c r="F6" s="203">
        <f t="shared" si="0"/>
        <v>49.527472499999995</v>
      </c>
      <c r="G6" s="194">
        <f t="shared" si="1"/>
        <v>49.53</v>
      </c>
      <c r="H6" s="198">
        <f t="shared" si="2"/>
        <v>4.13</v>
      </c>
    </row>
    <row r="7" spans="1:9" x14ac:dyDescent="0.2">
      <c r="A7" s="399" t="s">
        <v>274</v>
      </c>
      <c r="B7" s="400"/>
      <c r="C7" s="192">
        <v>1</v>
      </c>
      <c r="D7" s="193">
        <v>2</v>
      </c>
      <c r="E7" s="203">
        <v>3</v>
      </c>
      <c r="F7" s="203">
        <f t="shared" si="0"/>
        <v>3.3018314999999996</v>
      </c>
      <c r="G7" s="194">
        <f t="shared" si="1"/>
        <v>6.6</v>
      </c>
      <c r="H7" s="198">
        <f t="shared" si="2"/>
        <v>0.55000000000000004</v>
      </c>
    </row>
    <row r="8" spans="1:9" x14ac:dyDescent="0.2">
      <c r="A8" s="399" t="s">
        <v>275</v>
      </c>
      <c r="B8" s="400"/>
      <c r="C8" s="192">
        <v>1</v>
      </c>
      <c r="D8" s="193">
        <v>1</v>
      </c>
      <c r="E8" s="203">
        <v>10</v>
      </c>
      <c r="F8" s="203">
        <f t="shared" si="0"/>
        <v>11.006105</v>
      </c>
      <c r="G8" s="194">
        <f t="shared" si="1"/>
        <v>11.01</v>
      </c>
      <c r="H8" s="198">
        <f t="shared" si="2"/>
        <v>0.92</v>
      </c>
    </row>
    <row r="9" spans="1:9" x14ac:dyDescent="0.2">
      <c r="A9" s="399" t="s">
        <v>276</v>
      </c>
      <c r="B9" s="400"/>
      <c r="C9" s="192">
        <v>1</v>
      </c>
      <c r="D9" s="193">
        <v>1</v>
      </c>
      <c r="E9" s="203">
        <v>25</v>
      </c>
      <c r="F9" s="203">
        <f t="shared" si="0"/>
        <v>27.515262499999999</v>
      </c>
      <c r="G9" s="194">
        <f t="shared" si="1"/>
        <v>27.52</v>
      </c>
      <c r="H9" s="198">
        <f t="shared" si="2"/>
        <v>2.29</v>
      </c>
    </row>
    <row r="10" spans="1:9" x14ac:dyDescent="0.2">
      <c r="A10" s="399" t="s">
        <v>277</v>
      </c>
      <c r="B10" s="400"/>
      <c r="C10" s="192">
        <v>1</v>
      </c>
      <c r="D10" s="193">
        <v>1</v>
      </c>
      <c r="E10" s="203">
        <v>10</v>
      </c>
      <c r="F10" s="203">
        <f t="shared" si="0"/>
        <v>11.006105</v>
      </c>
      <c r="G10" s="194">
        <f t="shared" si="1"/>
        <v>11.01</v>
      </c>
      <c r="H10" s="198">
        <f t="shared" si="2"/>
        <v>0.92</v>
      </c>
    </row>
    <row r="11" spans="1:9" x14ac:dyDescent="0.2">
      <c r="A11" s="399" t="s">
        <v>278</v>
      </c>
      <c r="B11" s="400"/>
      <c r="C11" s="192">
        <v>1</v>
      </c>
      <c r="D11" s="193">
        <v>1</v>
      </c>
      <c r="E11" s="203">
        <v>5</v>
      </c>
      <c r="F11" s="203">
        <f t="shared" si="0"/>
        <v>5.5030524999999999</v>
      </c>
      <c r="G11" s="194">
        <f t="shared" si="1"/>
        <v>5.5</v>
      </c>
      <c r="H11" s="198">
        <f t="shared" si="2"/>
        <v>0.46</v>
      </c>
    </row>
    <row r="12" spans="1:9" x14ac:dyDescent="0.2">
      <c r="A12" s="401" t="s">
        <v>157</v>
      </c>
      <c r="B12" s="402"/>
      <c r="C12" s="402"/>
      <c r="D12" s="402"/>
      <c r="E12" s="402"/>
      <c r="F12" s="402"/>
      <c r="G12" s="402"/>
      <c r="H12" s="199">
        <f>ROUND(SUM(H3:H11),2)</f>
        <v>18.72</v>
      </c>
    </row>
    <row r="13" spans="1:9" x14ac:dyDescent="0.2">
      <c r="A13" s="409" t="s">
        <v>279</v>
      </c>
      <c r="B13" s="410"/>
      <c r="C13" s="410"/>
      <c r="D13" s="410"/>
      <c r="E13" s="410"/>
      <c r="F13" s="410"/>
      <c r="G13" s="410"/>
      <c r="H13" s="411"/>
    </row>
    <row r="14" spans="1:9" x14ac:dyDescent="0.2">
      <c r="A14" s="200"/>
      <c r="B14" s="195"/>
      <c r="C14" s="195"/>
      <c r="D14" s="195"/>
      <c r="E14" s="195"/>
      <c r="F14" s="195"/>
      <c r="G14" s="195"/>
      <c r="H14" s="201"/>
    </row>
    <row r="15" spans="1:9" x14ac:dyDescent="0.2">
      <c r="A15" s="401" t="s">
        <v>296</v>
      </c>
      <c r="B15" s="402"/>
      <c r="C15" s="402"/>
      <c r="D15" s="402"/>
      <c r="E15" s="402"/>
      <c r="F15" s="402"/>
      <c r="G15" s="402"/>
      <c r="H15" s="406"/>
    </row>
    <row r="16" spans="1:9" ht="60" x14ac:dyDescent="0.2">
      <c r="A16" s="407" t="s">
        <v>43</v>
      </c>
      <c r="B16" s="408"/>
      <c r="C16" s="191" t="s">
        <v>265</v>
      </c>
      <c r="D16" s="191" t="s">
        <v>280</v>
      </c>
      <c r="E16" s="253" t="s">
        <v>267</v>
      </c>
      <c r="F16" s="277" t="s">
        <v>317</v>
      </c>
      <c r="G16" s="191" t="s">
        <v>281</v>
      </c>
      <c r="H16" s="197" t="s">
        <v>269</v>
      </c>
    </row>
    <row r="17" spans="1:8" x14ac:dyDescent="0.2">
      <c r="A17" s="412" t="s">
        <v>282</v>
      </c>
      <c r="B17" s="413"/>
      <c r="C17" s="192">
        <v>1</v>
      </c>
      <c r="D17" s="193">
        <v>1</v>
      </c>
      <c r="E17" s="203">
        <v>650</v>
      </c>
      <c r="F17" s="203">
        <f>E17*$I$3</f>
        <v>715.39682499999992</v>
      </c>
      <c r="G17" s="194">
        <f>ROUND(F17*D17*C17,2)</f>
        <v>715.4</v>
      </c>
      <c r="H17" s="202">
        <f>ROUND(G17/60,2)</f>
        <v>11.92</v>
      </c>
    </row>
    <row r="18" spans="1:8" x14ac:dyDescent="0.2">
      <c r="A18" s="412" t="s">
        <v>283</v>
      </c>
      <c r="B18" s="413"/>
      <c r="C18" s="192">
        <v>1</v>
      </c>
      <c r="D18" s="193">
        <v>1</v>
      </c>
      <c r="E18" s="203">
        <v>30</v>
      </c>
      <c r="F18" s="203">
        <f>E18*$I$3</f>
        <v>33.018315000000001</v>
      </c>
      <c r="G18" s="194">
        <f t="shared" ref="G18:G28" si="3">ROUND(F18*D18*C18,2)</f>
        <v>33.020000000000003</v>
      </c>
      <c r="H18" s="202">
        <f t="shared" ref="H18:H28" si="4">ROUND(G18/60,2)</f>
        <v>0.55000000000000004</v>
      </c>
    </row>
    <row r="19" spans="1:8" x14ac:dyDescent="0.2">
      <c r="A19" s="412" t="s">
        <v>284</v>
      </c>
      <c r="B19" s="413"/>
      <c r="C19" s="192">
        <v>1</v>
      </c>
      <c r="D19" s="193">
        <v>1</v>
      </c>
      <c r="E19" s="203">
        <v>700</v>
      </c>
      <c r="F19" s="203">
        <f>E19*$I$3</f>
        <v>770.42734999999993</v>
      </c>
      <c r="G19" s="194">
        <f t="shared" si="3"/>
        <v>770.43</v>
      </c>
      <c r="H19" s="202">
        <f t="shared" si="4"/>
        <v>12.84</v>
      </c>
    </row>
    <row r="20" spans="1:8" x14ac:dyDescent="0.2">
      <c r="A20" s="399" t="s">
        <v>292</v>
      </c>
      <c r="B20" s="400"/>
      <c r="C20" s="192">
        <v>1</v>
      </c>
      <c r="D20" s="193">
        <v>1</v>
      </c>
      <c r="E20" s="203">
        <v>150</v>
      </c>
      <c r="F20" s="203">
        <f t="shared" ref="F20:F21" si="5">E20*$I$3</f>
        <v>165.09157499999998</v>
      </c>
      <c r="G20" s="194">
        <f>ROUND(F20*D20*C20,2)</f>
        <v>165.09</v>
      </c>
      <c r="H20" s="202">
        <f>ROUND(G20/60,2)</f>
        <v>2.75</v>
      </c>
    </row>
    <row r="21" spans="1:8" x14ac:dyDescent="0.2">
      <c r="A21" s="399" t="s">
        <v>293</v>
      </c>
      <c r="B21" s="400"/>
      <c r="C21" s="192">
        <v>1</v>
      </c>
      <c r="D21" s="193">
        <v>1</v>
      </c>
      <c r="E21" s="203">
        <v>40</v>
      </c>
      <c r="F21" s="203">
        <f t="shared" si="5"/>
        <v>44.024419999999999</v>
      </c>
      <c r="G21" s="194">
        <f t="shared" si="3"/>
        <v>44.02</v>
      </c>
      <c r="H21" s="202">
        <f t="shared" si="4"/>
        <v>0.73</v>
      </c>
    </row>
    <row r="22" spans="1:8" x14ac:dyDescent="0.2">
      <c r="A22" s="399" t="s">
        <v>285</v>
      </c>
      <c r="B22" s="400"/>
      <c r="C22" s="192">
        <v>1</v>
      </c>
      <c r="D22" s="193">
        <v>6</v>
      </c>
      <c r="E22" s="203">
        <v>5</v>
      </c>
      <c r="F22" s="203">
        <f t="shared" ref="F22:F28" si="6">E22*$I$3</f>
        <v>5.5030524999999999</v>
      </c>
      <c r="G22" s="194">
        <f>ROUND(F22*D22*C22,2)</f>
        <v>33.020000000000003</v>
      </c>
      <c r="H22" s="202">
        <f t="shared" si="4"/>
        <v>0.55000000000000004</v>
      </c>
    </row>
    <row r="23" spans="1:8" x14ac:dyDescent="0.2">
      <c r="A23" s="399" t="s">
        <v>286</v>
      </c>
      <c r="B23" s="400"/>
      <c r="C23" s="192">
        <v>1</v>
      </c>
      <c r="D23" s="193">
        <v>1</v>
      </c>
      <c r="E23" s="203">
        <v>45</v>
      </c>
      <c r="F23" s="203">
        <f t="shared" si="6"/>
        <v>49.527472499999995</v>
      </c>
      <c r="G23" s="194">
        <f t="shared" si="3"/>
        <v>49.53</v>
      </c>
      <c r="H23" s="202">
        <f t="shared" si="4"/>
        <v>0.83</v>
      </c>
    </row>
    <row r="24" spans="1:8" x14ac:dyDescent="0.2">
      <c r="A24" s="399" t="s">
        <v>289</v>
      </c>
      <c r="B24" s="400"/>
      <c r="C24" s="192">
        <v>1</v>
      </c>
      <c r="D24" s="193">
        <v>1</v>
      </c>
      <c r="E24" s="203">
        <v>7.5</v>
      </c>
      <c r="F24" s="203">
        <f t="shared" si="6"/>
        <v>8.2545787500000003</v>
      </c>
      <c r="G24" s="194">
        <f>ROUND(F24*D24*C24,2)</f>
        <v>8.25</v>
      </c>
      <c r="H24" s="202">
        <f>ROUND(G24/60,2)</f>
        <v>0.14000000000000001</v>
      </c>
    </row>
    <row r="25" spans="1:8" x14ac:dyDescent="0.2">
      <c r="A25" s="399" t="s">
        <v>290</v>
      </c>
      <c r="B25" s="400"/>
      <c r="C25" s="192">
        <v>1</v>
      </c>
      <c r="D25" s="193">
        <v>3</v>
      </c>
      <c r="E25" s="203">
        <v>1</v>
      </c>
      <c r="F25" s="203">
        <f t="shared" si="6"/>
        <v>1.1006104999999999</v>
      </c>
      <c r="G25" s="194">
        <f>ROUND(F25*D25*C25,2)</f>
        <v>3.3</v>
      </c>
      <c r="H25" s="202">
        <f>ROUND(G25/60,2)</f>
        <v>0.06</v>
      </c>
    </row>
    <row r="26" spans="1:8" x14ac:dyDescent="0.2">
      <c r="A26" s="399" t="s">
        <v>287</v>
      </c>
      <c r="B26" s="400"/>
      <c r="C26" s="192">
        <v>1</v>
      </c>
      <c r="D26" s="193">
        <v>5</v>
      </c>
      <c r="E26" s="203">
        <v>20</v>
      </c>
      <c r="F26" s="203">
        <f t="shared" si="6"/>
        <v>22.01221</v>
      </c>
      <c r="G26" s="194">
        <f t="shared" si="3"/>
        <v>110.06</v>
      </c>
      <c r="H26" s="202">
        <f t="shared" si="4"/>
        <v>1.83</v>
      </c>
    </row>
    <row r="27" spans="1:8" ht="51" customHeight="1" x14ac:dyDescent="0.2">
      <c r="A27" s="399" t="s">
        <v>291</v>
      </c>
      <c r="B27" s="400"/>
      <c r="C27" s="192">
        <v>1</v>
      </c>
      <c r="D27" s="193">
        <v>1</v>
      </c>
      <c r="E27" s="203">
        <v>25</v>
      </c>
      <c r="F27" s="203">
        <f t="shared" si="6"/>
        <v>27.515262499999999</v>
      </c>
      <c r="G27" s="194">
        <f t="shared" si="3"/>
        <v>27.52</v>
      </c>
      <c r="H27" s="202">
        <f t="shared" si="4"/>
        <v>0.46</v>
      </c>
    </row>
    <row r="28" spans="1:8" x14ac:dyDescent="0.2">
      <c r="A28" s="399" t="s">
        <v>288</v>
      </c>
      <c r="B28" s="400"/>
      <c r="C28" s="192">
        <v>1</v>
      </c>
      <c r="D28" s="193">
        <v>1</v>
      </c>
      <c r="E28" s="203">
        <v>150</v>
      </c>
      <c r="F28" s="203">
        <f t="shared" si="6"/>
        <v>165.09157499999998</v>
      </c>
      <c r="G28" s="194">
        <f t="shared" si="3"/>
        <v>165.09</v>
      </c>
      <c r="H28" s="202">
        <f t="shared" si="4"/>
        <v>2.75</v>
      </c>
    </row>
    <row r="29" spans="1:8" x14ac:dyDescent="0.2">
      <c r="A29" s="401" t="s">
        <v>157</v>
      </c>
      <c r="B29" s="402"/>
      <c r="C29" s="402"/>
      <c r="D29" s="402"/>
      <c r="E29" s="402"/>
      <c r="F29" s="402"/>
      <c r="G29" s="402"/>
      <c r="H29" s="199">
        <f>ROUND(SUM(H17:H28),2)</f>
        <v>35.409999999999997</v>
      </c>
    </row>
    <row r="30" spans="1:8" ht="15.75" thickBot="1" x14ac:dyDescent="0.25">
      <c r="A30" s="403" t="s">
        <v>294</v>
      </c>
      <c r="B30" s="404"/>
      <c r="C30" s="404"/>
      <c r="D30" s="404"/>
      <c r="E30" s="404"/>
      <c r="F30" s="404"/>
      <c r="G30" s="404"/>
      <c r="H30" s="405"/>
    </row>
    <row r="31" spans="1:8" x14ac:dyDescent="0.2">
      <c r="A31" s="401" t="s">
        <v>295</v>
      </c>
      <c r="B31" s="402"/>
      <c r="C31" s="402"/>
      <c r="D31" s="402"/>
      <c r="E31" s="402"/>
      <c r="F31" s="402"/>
      <c r="G31" s="402"/>
      <c r="H31" s="406"/>
    </row>
    <row r="32" spans="1:8" ht="60" x14ac:dyDescent="0.2">
      <c r="A32" s="407" t="s">
        <v>43</v>
      </c>
      <c r="B32" s="408"/>
      <c r="C32" s="191" t="s">
        <v>265</v>
      </c>
      <c r="D32" s="191" t="s">
        <v>280</v>
      </c>
      <c r="E32" s="253" t="s">
        <v>267</v>
      </c>
      <c r="F32" s="277" t="s">
        <v>317</v>
      </c>
      <c r="G32" s="191" t="s">
        <v>281</v>
      </c>
      <c r="H32" s="197" t="s">
        <v>269</v>
      </c>
    </row>
    <row r="33" spans="1:8" x14ac:dyDescent="0.2">
      <c r="A33" s="399" t="s">
        <v>284</v>
      </c>
      <c r="B33" s="400"/>
      <c r="C33" s="192">
        <v>1</v>
      </c>
      <c r="D33" s="193">
        <v>1</v>
      </c>
      <c r="E33" s="203">
        <v>700</v>
      </c>
      <c r="F33" s="203">
        <f t="shared" ref="F33:F40" si="7">E33*$I$3</f>
        <v>770.42734999999993</v>
      </c>
      <c r="G33" s="194">
        <f>ROUND(F33*D33*C33,2)</f>
        <v>770.43</v>
      </c>
      <c r="H33" s="202">
        <f t="shared" ref="H33:H40" si="8">ROUND(G33/60,2)</f>
        <v>12.84</v>
      </c>
    </row>
    <row r="34" spans="1:8" x14ac:dyDescent="0.2">
      <c r="A34" s="399" t="s">
        <v>285</v>
      </c>
      <c r="B34" s="400"/>
      <c r="C34" s="192">
        <v>1</v>
      </c>
      <c r="D34" s="193">
        <v>6</v>
      </c>
      <c r="E34" s="203">
        <v>5</v>
      </c>
      <c r="F34" s="203">
        <f t="shared" si="7"/>
        <v>5.5030524999999999</v>
      </c>
      <c r="G34" s="194">
        <f>ROUND(F34*D34*C34,2)</f>
        <v>33.020000000000003</v>
      </c>
      <c r="H34" s="202">
        <f t="shared" si="8"/>
        <v>0.55000000000000004</v>
      </c>
    </row>
    <row r="35" spans="1:8" x14ac:dyDescent="0.2">
      <c r="A35" s="399" t="s">
        <v>286</v>
      </c>
      <c r="B35" s="400"/>
      <c r="C35" s="192">
        <v>1</v>
      </c>
      <c r="D35" s="193">
        <v>1</v>
      </c>
      <c r="E35" s="203">
        <v>45</v>
      </c>
      <c r="F35" s="203">
        <f t="shared" si="7"/>
        <v>49.527472499999995</v>
      </c>
      <c r="G35" s="194">
        <f t="shared" ref="G35:G40" si="9">ROUND(F35*D35*C35,2)</f>
        <v>49.53</v>
      </c>
      <c r="H35" s="202">
        <f t="shared" si="8"/>
        <v>0.83</v>
      </c>
    </row>
    <row r="36" spans="1:8" x14ac:dyDescent="0.2">
      <c r="A36" s="399" t="s">
        <v>289</v>
      </c>
      <c r="B36" s="400"/>
      <c r="C36" s="192">
        <v>1</v>
      </c>
      <c r="D36" s="193">
        <v>1</v>
      </c>
      <c r="E36" s="203">
        <v>7.5</v>
      </c>
      <c r="F36" s="203">
        <f t="shared" si="7"/>
        <v>8.2545787500000003</v>
      </c>
      <c r="G36" s="194">
        <f t="shared" si="9"/>
        <v>8.25</v>
      </c>
      <c r="H36" s="202">
        <f t="shared" si="8"/>
        <v>0.14000000000000001</v>
      </c>
    </row>
    <row r="37" spans="1:8" x14ac:dyDescent="0.2">
      <c r="A37" s="399" t="s">
        <v>290</v>
      </c>
      <c r="B37" s="400"/>
      <c r="C37" s="192">
        <v>1</v>
      </c>
      <c r="D37" s="193">
        <v>3</v>
      </c>
      <c r="E37" s="203">
        <v>1</v>
      </c>
      <c r="F37" s="203">
        <f t="shared" si="7"/>
        <v>1.1006104999999999</v>
      </c>
      <c r="G37" s="194">
        <f t="shared" si="9"/>
        <v>3.3</v>
      </c>
      <c r="H37" s="202">
        <f t="shared" si="8"/>
        <v>0.06</v>
      </c>
    </row>
    <row r="38" spans="1:8" x14ac:dyDescent="0.2">
      <c r="A38" s="399" t="s">
        <v>287</v>
      </c>
      <c r="B38" s="400"/>
      <c r="C38" s="192">
        <v>1</v>
      </c>
      <c r="D38" s="193">
        <v>5</v>
      </c>
      <c r="E38" s="203">
        <v>20</v>
      </c>
      <c r="F38" s="203">
        <f t="shared" si="7"/>
        <v>22.01221</v>
      </c>
      <c r="G38" s="194">
        <f t="shared" si="9"/>
        <v>110.06</v>
      </c>
      <c r="H38" s="202">
        <f t="shared" si="8"/>
        <v>1.83</v>
      </c>
    </row>
    <row r="39" spans="1:8" ht="51" customHeight="1" x14ac:dyDescent="0.2">
      <c r="A39" s="399" t="s">
        <v>291</v>
      </c>
      <c r="B39" s="400"/>
      <c r="C39" s="192">
        <v>1</v>
      </c>
      <c r="D39" s="193">
        <v>1</v>
      </c>
      <c r="E39" s="203">
        <v>25</v>
      </c>
      <c r="F39" s="203">
        <f t="shared" si="7"/>
        <v>27.515262499999999</v>
      </c>
      <c r="G39" s="194">
        <f t="shared" si="9"/>
        <v>27.52</v>
      </c>
      <c r="H39" s="202">
        <f t="shared" si="8"/>
        <v>0.46</v>
      </c>
    </row>
    <row r="40" spans="1:8" x14ac:dyDescent="0.2">
      <c r="A40" s="399" t="s">
        <v>288</v>
      </c>
      <c r="B40" s="400"/>
      <c r="C40" s="192">
        <v>1</v>
      </c>
      <c r="D40" s="193">
        <v>1</v>
      </c>
      <c r="E40" s="203">
        <v>150</v>
      </c>
      <c r="F40" s="203">
        <f t="shared" si="7"/>
        <v>165.09157499999998</v>
      </c>
      <c r="G40" s="194">
        <f t="shared" si="9"/>
        <v>165.09</v>
      </c>
      <c r="H40" s="202">
        <f t="shared" si="8"/>
        <v>2.75</v>
      </c>
    </row>
    <row r="41" spans="1:8" x14ac:dyDescent="0.2">
      <c r="A41" s="401" t="s">
        <v>157</v>
      </c>
      <c r="B41" s="402"/>
      <c r="C41" s="402"/>
      <c r="D41" s="402"/>
      <c r="E41" s="402"/>
      <c r="F41" s="402"/>
      <c r="G41" s="402"/>
      <c r="H41" s="199">
        <f>ROUND(SUM(H33:H40),2)</f>
        <v>19.46</v>
      </c>
    </row>
    <row r="42" spans="1:8" ht="15.75" thickBot="1" x14ac:dyDescent="0.25">
      <c r="A42" s="403" t="s">
        <v>294</v>
      </c>
      <c r="B42" s="404"/>
      <c r="C42" s="404"/>
      <c r="D42" s="404"/>
      <c r="E42" s="404"/>
      <c r="F42" s="404"/>
      <c r="G42" s="404"/>
      <c r="H42" s="405"/>
    </row>
  </sheetData>
  <mergeCells count="41">
    <mergeCell ref="A1:H1"/>
    <mergeCell ref="A2:B2"/>
    <mergeCell ref="A3:B3"/>
    <mergeCell ref="A4:B4"/>
    <mergeCell ref="A5:B5"/>
    <mergeCell ref="A6:B6"/>
    <mergeCell ref="A20:B20"/>
    <mergeCell ref="A12:G12"/>
    <mergeCell ref="A13:H13"/>
    <mergeCell ref="A15:H15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1:B21"/>
    <mergeCell ref="A31:H31"/>
    <mergeCell ref="A32:B32"/>
    <mergeCell ref="A33:B33"/>
    <mergeCell ref="A27:B27"/>
    <mergeCell ref="A28:B28"/>
    <mergeCell ref="A29:G29"/>
    <mergeCell ref="A30:H30"/>
    <mergeCell ref="A22:B22"/>
    <mergeCell ref="A23:B23"/>
    <mergeCell ref="A26:B26"/>
    <mergeCell ref="A24:B24"/>
    <mergeCell ref="A25:B25"/>
    <mergeCell ref="A39:B39"/>
    <mergeCell ref="A40:B40"/>
    <mergeCell ref="A41:G41"/>
    <mergeCell ref="A42:H42"/>
    <mergeCell ref="A34:B34"/>
    <mergeCell ref="A35:B35"/>
    <mergeCell ref="A36:B36"/>
    <mergeCell ref="A37:B37"/>
    <mergeCell ref="A38:B38"/>
  </mergeCells>
  <printOptions horizontalCentered="1" verticalCentered="1"/>
  <pageMargins left="0.39370078740157483" right="0.39370078740157483" top="0.98425196850393704" bottom="0.39370078740157483" header="0.31496062992125984" footer="0.31496062992125984"/>
  <pageSetup paperSize="9" scale="60" orientation="portrait" r:id="rId1"/>
  <headerFooter>
    <oddHeader>&amp;R&amp;G</oddHeader>
    <oddFooter>&amp;CLINCE SEGURANÇA PATRIMONIAL LTDA. Av. São Paulo, 1049, São Geraldo, Porto Alegre/RS&amp;R&amp;P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3"/>
  </sheetPr>
  <dimension ref="A1:P134"/>
  <sheetViews>
    <sheetView view="pageBreakPreview" topLeftCell="A97" zoomScaleNormal="100" zoomScaleSheetLayoutView="100" workbookViewId="0">
      <selection activeCell="J108" sqref="J108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34"/>
      <c r="B2" s="134"/>
      <c r="C2" s="134"/>
      <c r="D2" s="134"/>
      <c r="E2" s="226"/>
      <c r="F2" s="237"/>
      <c r="G2" s="248"/>
      <c r="H2" s="248"/>
      <c r="I2" s="252"/>
      <c r="J2" s="134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35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x14ac:dyDescent="0.2">
      <c r="A16" s="387" t="s">
        <v>145</v>
      </c>
      <c r="B16" s="387"/>
      <c r="C16" s="136" t="s">
        <v>211</v>
      </c>
      <c r="D16" s="387">
        <v>1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25</v>
      </c>
    </row>
    <row r="17" spans="1:13" ht="13.5" thickBot="1" x14ac:dyDescent="0.25">
      <c r="L17" s="7" t="s">
        <v>35</v>
      </c>
      <c r="M17" s="67">
        <f>ROUND((M13*M14*M16)-(M15*J32),2)</f>
        <v>134.13999999999999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314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25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598.25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119.65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43497</v>
      </c>
      <c r="G23" s="28">
        <v>43497</v>
      </c>
      <c r="H23" s="259">
        <v>43497</v>
      </c>
      <c r="I23" s="28">
        <v>43497</v>
      </c>
      <c r="J23" s="28">
        <v>43497</v>
      </c>
      <c r="L23" s="7" t="s">
        <v>35</v>
      </c>
      <c r="M23" s="67">
        <f>M21-M22</f>
        <v>478.6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187">
        <v>6.58</v>
      </c>
      <c r="F24" s="187">
        <v>6.82</v>
      </c>
      <c r="G24" s="187">
        <v>6.82</v>
      </c>
      <c r="H24" s="187">
        <v>7.23</v>
      </c>
      <c r="I24" s="187">
        <f>ROUND(I21/220,2)</f>
        <v>7.23</v>
      </c>
      <c r="J24" s="187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1</v>
      </c>
      <c r="F28" s="188">
        <v>1</v>
      </c>
      <c r="G28" s="188">
        <v>1</v>
      </c>
      <c r="H28" s="261">
        <v>1</v>
      </c>
      <c r="I28" s="188">
        <f>D16</f>
        <v>1</v>
      </c>
      <c r="J28" s="188">
        <f>D16</f>
        <v>1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>
        <v>1590.6</v>
      </c>
      <c r="J32" s="276">
        <f>J21</f>
        <v>1764.4</v>
      </c>
      <c r="L32" s="185"/>
      <c r="M32" s="212"/>
    </row>
    <row r="33" spans="1:13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>
        <v>477.18</v>
      </c>
      <c r="J33" s="34">
        <f>ROUND(D33*J32,2)</f>
        <v>529.32000000000005</v>
      </c>
      <c r="L33" s="185"/>
    </row>
    <row r="34" spans="1:13" ht="44.25" customHeight="1" x14ac:dyDescent="0.2">
      <c r="A34" s="32" t="s">
        <v>2</v>
      </c>
      <c r="B34" s="366" t="s">
        <v>300</v>
      </c>
      <c r="C34" s="367"/>
      <c r="D34" s="33"/>
      <c r="E34" s="34">
        <v>27.42</v>
      </c>
      <c r="F34" s="34">
        <v>28.42</v>
      </c>
      <c r="G34" s="34">
        <v>28.42</v>
      </c>
      <c r="H34" s="263">
        <v>30.13</v>
      </c>
      <c r="I34" s="34">
        <v>30.13</v>
      </c>
      <c r="J34" s="34">
        <f>ROUND((J32/220)/6*25,2)</f>
        <v>33.42</v>
      </c>
      <c r="L34" s="170"/>
    </row>
    <row r="35" spans="1:13" ht="42" customHeight="1" x14ac:dyDescent="0.2">
      <c r="A35" s="32" t="s">
        <v>3</v>
      </c>
      <c r="B35" s="366" t="s">
        <v>301</v>
      </c>
      <c r="C35" s="367"/>
      <c r="D35" s="33"/>
      <c r="E35" s="34">
        <v>0</v>
      </c>
      <c r="F35" s="34">
        <v>0</v>
      </c>
      <c r="G35" s="34">
        <v>0</v>
      </c>
      <c r="H35" s="263">
        <v>0</v>
      </c>
      <c r="I35" s="34">
        <v>0</v>
      </c>
      <c r="J35" s="34">
        <v>0</v>
      </c>
      <c r="L35" s="170"/>
      <c r="M35" s="170"/>
    </row>
    <row r="36" spans="1:13" ht="56.25" customHeight="1" x14ac:dyDescent="0.2">
      <c r="A36" s="32" t="s">
        <v>4</v>
      </c>
      <c r="B36" s="366" t="s">
        <v>302</v>
      </c>
      <c r="C36" s="367"/>
      <c r="D36" s="33"/>
      <c r="E36" s="34">
        <v>0</v>
      </c>
      <c r="F36" s="34">
        <v>0</v>
      </c>
      <c r="G36" s="34">
        <v>0</v>
      </c>
      <c r="H36" s="263">
        <v>0</v>
      </c>
      <c r="I36" s="34">
        <v>0</v>
      </c>
      <c r="J36" s="34">
        <v>0</v>
      </c>
    </row>
    <row r="37" spans="1:13" x14ac:dyDescent="0.2">
      <c r="A37" s="32" t="s">
        <v>5</v>
      </c>
      <c r="B37" s="366" t="s">
        <v>50</v>
      </c>
      <c r="C37" s="367"/>
      <c r="D37" s="33"/>
      <c r="E37" s="34">
        <v>4.57</v>
      </c>
      <c r="F37" s="34">
        <v>4.74</v>
      </c>
      <c r="G37" s="34">
        <v>4.74</v>
      </c>
      <c r="H37" s="263">
        <v>5.0199999999999996</v>
      </c>
      <c r="I37" s="34">
        <v>5.0199999999999996</v>
      </c>
      <c r="J37" s="34">
        <f>ROUND((J34+J35+J36)*16.67%,2)</f>
        <v>5.57</v>
      </c>
      <c r="K37" s="170">
        <f>ROUND((J34)*16.67%,2)</f>
        <v>5.57</v>
      </c>
      <c r="M37" s="9"/>
    </row>
    <row r="38" spans="1:13" x14ac:dyDescent="0.2">
      <c r="A38" s="32" t="s">
        <v>6</v>
      </c>
      <c r="B38" s="366" t="s">
        <v>220</v>
      </c>
      <c r="C38" s="367"/>
      <c r="D38" s="33"/>
      <c r="E38" s="34">
        <v>144.76</v>
      </c>
      <c r="F38" s="34">
        <v>150.04000000000002</v>
      </c>
      <c r="G38" s="34">
        <v>150.04000000000002</v>
      </c>
      <c r="H38" s="263">
        <v>159.06</v>
      </c>
      <c r="I38" s="34">
        <v>159.06</v>
      </c>
      <c r="J38" s="34">
        <f>J32*0.1</f>
        <v>176.44000000000003</v>
      </c>
      <c r="M38" s="9"/>
    </row>
    <row r="39" spans="1:13" x14ac:dyDescent="0.2">
      <c r="A39" s="370" t="s">
        <v>157</v>
      </c>
      <c r="B39" s="371"/>
      <c r="C39" s="371"/>
      <c r="D39" s="372"/>
      <c r="E39" s="35">
        <v>2058.63</v>
      </c>
      <c r="F39" s="31">
        <v>2133.7199999999998</v>
      </c>
      <c r="G39" s="35">
        <v>2133.7199999999998</v>
      </c>
      <c r="H39" s="35">
        <v>2261.9899999999998</v>
      </c>
      <c r="I39" s="35">
        <f>ROUND(SUM(I32:I38),2)</f>
        <v>2261.9899999999998</v>
      </c>
      <c r="J39" s="35">
        <f>ROUND(SUM(J32:J38),2)</f>
        <v>2509.15</v>
      </c>
      <c r="K39" s="35">
        <f>ROUND(SUM(J32:J38),2)-J34-K37</f>
        <v>2470.16</v>
      </c>
      <c r="M39" s="9"/>
    </row>
    <row r="40" spans="1:13" x14ac:dyDescent="0.2">
      <c r="M40" s="9"/>
    </row>
    <row r="41" spans="1:13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3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3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168.82</v>
      </c>
      <c r="F43" s="34">
        <v>174.98</v>
      </c>
      <c r="G43" s="34">
        <v>174.98</v>
      </c>
      <c r="H43" s="263">
        <v>185.5</v>
      </c>
      <c r="I43" s="34">
        <v>185.5</v>
      </c>
      <c r="J43" s="34">
        <f>ROUND(D43*$K$39,2)</f>
        <v>205.76</v>
      </c>
    </row>
    <row r="44" spans="1:13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245.22</v>
      </c>
      <c r="F44" s="34">
        <v>254.17</v>
      </c>
      <c r="G44" s="34">
        <v>254.17</v>
      </c>
      <c r="H44" s="263">
        <v>269.45</v>
      </c>
      <c r="I44" s="34">
        <v>269.45</v>
      </c>
      <c r="J44" s="34">
        <f>ROUND(D44*$K$39,2)</f>
        <v>298.89</v>
      </c>
      <c r="M44" s="9"/>
    </row>
    <row r="45" spans="1:13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414.04</v>
      </c>
      <c r="F45" s="35">
        <v>429.15</v>
      </c>
      <c r="G45" s="35">
        <v>429.15</v>
      </c>
      <c r="H45" s="35">
        <v>454.95</v>
      </c>
      <c r="I45" s="35">
        <f>ROUND(SUM(I43:I44),2)</f>
        <v>454.95</v>
      </c>
      <c r="J45" s="35">
        <f>ROUND(SUM(J43:J44),2)</f>
        <v>504.65</v>
      </c>
      <c r="M45" s="9"/>
    </row>
    <row r="46" spans="1:13" x14ac:dyDescent="0.2">
      <c r="M46" s="9"/>
    </row>
    <row r="47" spans="1:13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3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405.33</v>
      </c>
      <c r="F48" s="34">
        <v>420.11</v>
      </c>
      <c r="G48" s="34">
        <v>420.11</v>
      </c>
      <c r="H48" s="263">
        <v>445.37</v>
      </c>
      <c r="I48" s="34">
        <v>445.37</v>
      </c>
      <c r="J48" s="34">
        <f t="shared" ref="J48:J55" si="0">ROUND(D48*($K$39),2)</f>
        <v>494.03</v>
      </c>
      <c r="L48" s="169"/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50.67</v>
      </c>
      <c r="F49" s="34">
        <v>52.51</v>
      </c>
      <c r="G49" s="34">
        <v>52.51</v>
      </c>
      <c r="H49" s="263">
        <v>55.67</v>
      </c>
      <c r="I49" s="34">
        <v>55.67</v>
      </c>
      <c r="J49" s="34">
        <f t="shared" si="0"/>
        <v>61.75</v>
      </c>
      <c r="L49" s="169"/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82.69</v>
      </c>
      <c r="F50" s="34">
        <v>85.7</v>
      </c>
      <c r="G50" s="34">
        <v>85.7</v>
      </c>
      <c r="H50" s="263">
        <v>90.86</v>
      </c>
      <c r="I50" s="34">
        <v>90.86</v>
      </c>
      <c r="J50" s="34">
        <f t="shared" si="0"/>
        <v>100.78</v>
      </c>
      <c r="L50" s="169"/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30.4</v>
      </c>
      <c r="F51" s="34">
        <v>31.51</v>
      </c>
      <c r="G51" s="34">
        <v>31.51</v>
      </c>
      <c r="H51" s="263">
        <v>33.4</v>
      </c>
      <c r="I51" s="34">
        <v>33.4</v>
      </c>
      <c r="J51" s="34">
        <f t="shared" si="0"/>
        <v>37.049999999999997</v>
      </c>
      <c r="L51" s="169"/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20.27</v>
      </c>
      <c r="F52" s="34">
        <v>21.01</v>
      </c>
      <c r="G52" s="34">
        <v>21.01</v>
      </c>
      <c r="H52" s="263">
        <v>22.27</v>
      </c>
      <c r="I52" s="34">
        <v>22.27</v>
      </c>
      <c r="J52" s="34">
        <f t="shared" si="0"/>
        <v>24.7</v>
      </c>
      <c r="L52" s="169"/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12.16</v>
      </c>
      <c r="F53" s="34">
        <v>12.6</v>
      </c>
      <c r="G53" s="34">
        <v>12.6</v>
      </c>
      <c r="H53" s="263">
        <v>13.36</v>
      </c>
      <c r="I53" s="34">
        <v>13.36</v>
      </c>
      <c r="J53" s="34">
        <f t="shared" si="0"/>
        <v>14.82</v>
      </c>
      <c r="L53" s="169"/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4.05</v>
      </c>
      <c r="F54" s="34">
        <v>4.2</v>
      </c>
      <c r="G54" s="34">
        <v>4.2</v>
      </c>
      <c r="H54" s="263">
        <v>4.45</v>
      </c>
      <c r="I54" s="34">
        <v>4.45</v>
      </c>
      <c r="J54" s="34">
        <f t="shared" si="0"/>
        <v>4.9400000000000004</v>
      </c>
      <c r="L54" s="169"/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162.13</v>
      </c>
      <c r="F55" s="34">
        <v>168.04</v>
      </c>
      <c r="G55" s="34">
        <v>168.04</v>
      </c>
      <c r="H55" s="263">
        <v>178.15</v>
      </c>
      <c r="I55" s="34">
        <v>178.15</v>
      </c>
      <c r="J55" s="34">
        <f t="shared" si="0"/>
        <v>197.61</v>
      </c>
      <c r="L55" s="169"/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767.7</v>
      </c>
      <c r="F56" s="35">
        <v>795.68</v>
      </c>
      <c r="G56" s="35">
        <v>795.68</v>
      </c>
      <c r="H56" s="35">
        <v>843.53</v>
      </c>
      <c r="I56" s="35">
        <f>ROUND(SUM(I48:I55),2)</f>
        <v>843.53</v>
      </c>
      <c r="J56" s="35">
        <f>ROUND(SUM(J48:J55),2)</f>
        <v>935.68</v>
      </c>
      <c r="K56" s="210"/>
      <c r="L56" s="209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  <c r="K58" s="169"/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25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128.13999999999999</v>
      </c>
      <c r="F59" s="34">
        <v>124.98</v>
      </c>
      <c r="G59" s="34">
        <v>144.97999999999999</v>
      </c>
      <c r="H59" s="263">
        <v>139.56</v>
      </c>
      <c r="I59" s="34">
        <v>144.56</v>
      </c>
      <c r="J59" s="34">
        <f>IF(M17&lt;=0,0,IF(M17&gt;0,M17))</f>
        <v>134.13999999999999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25 Dias Trabalhados) - (20% do desconto legal) ]</v>
      </c>
      <c r="C60" s="367"/>
      <c r="D60" s="38" t="s">
        <v>76</v>
      </c>
      <c r="E60" s="34">
        <v>384.6</v>
      </c>
      <c r="F60" s="263">
        <v>400</v>
      </c>
      <c r="G60" s="263">
        <v>400</v>
      </c>
      <c r="H60" s="263">
        <v>430</v>
      </c>
      <c r="I60" s="263">
        <v>430</v>
      </c>
      <c r="J60" s="276">
        <f>M23</f>
        <v>478.6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515.24</v>
      </c>
      <c r="F62" s="35">
        <v>527.48</v>
      </c>
      <c r="G62" s="35">
        <v>547.48</v>
      </c>
      <c r="H62" s="35">
        <v>572.05999999999995</v>
      </c>
      <c r="I62" s="35">
        <f>ROUND(SUM(I59:I61),2)</f>
        <v>577.05999999999995</v>
      </c>
      <c r="J62" s="35">
        <f>ROUND(SUM(J59:J61),2)</f>
        <v>615.24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376" t="s">
        <v>80</v>
      </c>
      <c r="C66" s="376"/>
      <c r="D66" s="376"/>
      <c r="E66" s="228">
        <v>414.04</v>
      </c>
      <c r="F66" s="25">
        <v>429.15</v>
      </c>
      <c r="G66" s="25">
        <v>429.15</v>
      </c>
      <c r="H66" s="257">
        <v>454.95</v>
      </c>
      <c r="I66" s="25">
        <v>454.95</v>
      </c>
      <c r="J66" s="25">
        <f>J45</f>
        <v>504.65</v>
      </c>
    </row>
    <row r="67" spans="1:10" x14ac:dyDescent="0.2">
      <c r="A67" s="135" t="s">
        <v>81</v>
      </c>
      <c r="B67" s="376" t="s">
        <v>82</v>
      </c>
      <c r="C67" s="376"/>
      <c r="D67" s="376"/>
      <c r="E67" s="228">
        <v>767.7</v>
      </c>
      <c r="F67" s="25">
        <v>795.68</v>
      </c>
      <c r="G67" s="25">
        <v>795.68</v>
      </c>
      <c r="H67" s="257">
        <v>843.53</v>
      </c>
      <c r="I67" s="25">
        <v>843.53</v>
      </c>
      <c r="J67" s="25">
        <f>J56</f>
        <v>935.68</v>
      </c>
    </row>
    <row r="68" spans="1:10" x14ac:dyDescent="0.2">
      <c r="A68" s="135" t="s">
        <v>83</v>
      </c>
      <c r="B68" s="376" t="s">
        <v>25</v>
      </c>
      <c r="C68" s="376"/>
      <c r="D68" s="376"/>
      <c r="E68" s="228">
        <v>515.24</v>
      </c>
      <c r="F68" s="25">
        <v>527.48</v>
      </c>
      <c r="G68" s="25">
        <v>547.48</v>
      </c>
      <c r="H68" s="257">
        <v>572.05999999999995</v>
      </c>
      <c r="I68" s="25">
        <v>577.05999999999995</v>
      </c>
      <c r="J68" s="25">
        <f>J62</f>
        <v>615.24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1696.98</v>
      </c>
      <c r="F69" s="128">
        <v>1752.31</v>
      </c>
      <c r="G69" s="35">
        <v>1772.31</v>
      </c>
      <c r="H69" s="35">
        <v>1870.54</v>
      </c>
      <c r="I69" s="35">
        <f>ROUND(SUM(I66:I68),2)</f>
        <v>1875.54</v>
      </c>
      <c r="J69" s="35">
        <f>ROUND(SUM(J66:J68),2)</f>
        <v>2055.5700000000002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8.51</v>
      </c>
      <c r="F73" s="34">
        <v>8.82</v>
      </c>
      <c r="G73" s="34">
        <v>8.82</v>
      </c>
      <c r="H73" s="263">
        <v>9.35</v>
      </c>
      <c r="I73" s="34">
        <v>9.35</v>
      </c>
      <c r="J73" s="34">
        <f t="shared" ref="J73:J78" si="1">ROUND(D73*$K$39,2)</f>
        <v>10.37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0.61</v>
      </c>
      <c r="F74" s="34">
        <v>0.63</v>
      </c>
      <c r="G74" s="34">
        <v>0.63</v>
      </c>
      <c r="H74" s="263">
        <v>0.67</v>
      </c>
      <c r="I74" s="34">
        <v>0.67</v>
      </c>
      <c r="J74" s="34">
        <f t="shared" si="1"/>
        <v>0.74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4.8600000000000003</v>
      </c>
      <c r="F75" s="34">
        <v>5.04</v>
      </c>
      <c r="G75" s="34">
        <v>4.03</v>
      </c>
      <c r="H75" s="263">
        <v>4.28</v>
      </c>
      <c r="I75" s="34">
        <v>4.28</v>
      </c>
      <c r="J75" s="34">
        <f t="shared" si="1"/>
        <v>4.74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3.24</v>
      </c>
      <c r="F76" s="34">
        <v>3.36</v>
      </c>
      <c r="G76" s="34">
        <v>3.36</v>
      </c>
      <c r="H76" s="263">
        <v>3.56</v>
      </c>
      <c r="I76" s="34">
        <v>3.56</v>
      </c>
      <c r="J76" s="34">
        <f t="shared" si="1"/>
        <v>3.95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1.22</v>
      </c>
      <c r="F77" s="34">
        <v>1.26</v>
      </c>
      <c r="G77" s="34">
        <v>1.26</v>
      </c>
      <c r="H77" s="263">
        <v>1.34</v>
      </c>
      <c r="I77" s="34">
        <v>1.34</v>
      </c>
      <c r="J77" s="34">
        <f t="shared" si="1"/>
        <v>1.48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96.47</v>
      </c>
      <c r="F78" s="34">
        <v>99.99</v>
      </c>
      <c r="G78" s="34">
        <v>79.989999999999995</v>
      </c>
      <c r="H78" s="263">
        <v>84.8</v>
      </c>
      <c r="I78" s="34">
        <v>84.8</v>
      </c>
      <c r="J78" s="34">
        <f t="shared" si="1"/>
        <v>94.06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114.91</v>
      </c>
      <c r="F79" s="35">
        <v>119.1</v>
      </c>
      <c r="G79" s="35">
        <v>98.09</v>
      </c>
      <c r="H79" s="35">
        <v>104</v>
      </c>
      <c r="I79" s="35">
        <f>ROUND(SUM(I73:I78),2)</f>
        <v>104</v>
      </c>
      <c r="J79" s="35">
        <f>ROUND(SUM(J73:J78),2)</f>
        <v>115.34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20.47</v>
      </c>
      <c r="F83" s="34">
        <v>21.22</v>
      </c>
      <c r="G83" s="34">
        <v>21.22</v>
      </c>
      <c r="H83" s="263">
        <v>22.49</v>
      </c>
      <c r="I83" s="34">
        <v>22.49</v>
      </c>
      <c r="J83" s="34">
        <f t="shared" ref="J83:J88" si="2">ROUND(D83*$K$39,2)</f>
        <v>24.95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11.35</v>
      </c>
      <c r="F84" s="34">
        <v>11.76</v>
      </c>
      <c r="G84" s="34">
        <v>11.76</v>
      </c>
      <c r="H84" s="263">
        <v>12.47</v>
      </c>
      <c r="I84" s="34">
        <v>12.47</v>
      </c>
      <c r="J84" s="34">
        <f t="shared" si="2"/>
        <v>13.83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28.17</v>
      </c>
      <c r="F85" s="34">
        <v>29.2</v>
      </c>
      <c r="G85" s="34">
        <v>29.2</v>
      </c>
      <c r="H85" s="263">
        <v>30.95</v>
      </c>
      <c r="I85" s="34">
        <v>30.95</v>
      </c>
      <c r="J85" s="34">
        <f t="shared" si="2"/>
        <v>34.340000000000003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3.45</v>
      </c>
      <c r="F86" s="34">
        <v>3.57</v>
      </c>
      <c r="G86" s="34">
        <v>3.57</v>
      </c>
      <c r="H86" s="263">
        <v>3.79</v>
      </c>
      <c r="I86" s="34">
        <v>3.79</v>
      </c>
      <c r="J86" s="34">
        <f t="shared" si="2"/>
        <v>4.2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4.26</v>
      </c>
      <c r="F87" s="34">
        <v>4.41</v>
      </c>
      <c r="G87" s="34">
        <v>4.41</v>
      </c>
      <c r="H87" s="263">
        <v>4.68</v>
      </c>
      <c r="I87" s="34">
        <v>4.68</v>
      </c>
      <c r="J87" s="34">
        <f t="shared" si="2"/>
        <v>5.19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1.42</v>
      </c>
      <c r="F88" s="34">
        <v>1.47</v>
      </c>
      <c r="G88" s="34">
        <v>1.47</v>
      </c>
      <c r="H88" s="263">
        <v>1.56</v>
      </c>
      <c r="I88" s="34">
        <v>1.56</v>
      </c>
      <c r="J88" s="34">
        <f t="shared" si="2"/>
        <v>1.73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69.12</v>
      </c>
      <c r="F89" s="35">
        <v>71.63</v>
      </c>
      <c r="G89" s="35">
        <v>71.63</v>
      </c>
      <c r="H89" s="35">
        <v>75.94</v>
      </c>
      <c r="I89" s="35">
        <f>ROUND(SUM(I83:I88),2)</f>
        <v>75.94</v>
      </c>
      <c r="J89" s="35">
        <f>ROUND(SUM(J83:J88),2)</f>
        <v>84.24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183.02</v>
      </c>
      <c r="F92" s="34">
        <v>189.69</v>
      </c>
      <c r="G92" s="34">
        <v>189.69</v>
      </c>
      <c r="H92" s="263">
        <v>201.1</v>
      </c>
      <c r="I92" s="34">
        <v>201.1</v>
      </c>
      <c r="J92" s="34">
        <f>ROUND(D92*$K$39,2)</f>
        <v>223.07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183.02</v>
      </c>
      <c r="F93" s="128">
        <v>189.69</v>
      </c>
      <c r="G93" s="128">
        <v>189.69</v>
      </c>
      <c r="H93" s="128">
        <v>201.1</v>
      </c>
      <c r="I93" s="128">
        <f>ROUND(SUM(I92:I92),2)</f>
        <v>201.1</v>
      </c>
      <c r="J93" s="128">
        <f>ROUND(SUM(J92:J92),2)</f>
        <v>223.07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0</v>
      </c>
      <c r="F96" s="34">
        <v>0</v>
      </c>
      <c r="G96" s="34">
        <v>0</v>
      </c>
      <c r="H96" s="263">
        <v>0</v>
      </c>
      <c r="I96" s="34">
        <v>0</v>
      </c>
      <c r="J96" s="34">
        <v>0</v>
      </c>
    </row>
    <row r="97" spans="1:16" ht="12.75" customHeight="1" x14ac:dyDescent="0.2">
      <c r="A97" s="370" t="s">
        <v>156</v>
      </c>
      <c r="B97" s="371"/>
      <c r="C97" s="371"/>
      <c r="D97" s="372"/>
      <c r="E97" s="35">
        <v>0</v>
      </c>
      <c r="F97" s="35">
        <v>0</v>
      </c>
      <c r="G97" s="35">
        <v>0</v>
      </c>
      <c r="H97" s="35">
        <v>0</v>
      </c>
      <c r="I97" s="35">
        <f>ROUND(SUM(I96:I96),2)</f>
        <v>0</v>
      </c>
      <c r="J97" s="35">
        <f>ROUND(SUM(J96:J96),2)</f>
        <v>0</v>
      </c>
    </row>
    <row r="98" spans="1:16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6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6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376" t="s">
        <v>95</v>
      </c>
      <c r="C102" s="376"/>
      <c r="D102" s="376"/>
      <c r="E102" s="25">
        <v>252.14</v>
      </c>
      <c r="F102" s="25">
        <v>261.32</v>
      </c>
      <c r="G102" s="25">
        <v>261.32</v>
      </c>
      <c r="H102" s="257">
        <v>277.04000000000002</v>
      </c>
      <c r="I102" s="25">
        <v>277.04000000000002</v>
      </c>
      <c r="J102" s="25">
        <f>ROUND(J89+J93,2)</f>
        <v>307.31</v>
      </c>
    </row>
    <row r="103" spans="1:16" x14ac:dyDescent="0.2">
      <c r="A103" s="48" t="s">
        <v>27</v>
      </c>
      <c r="B103" s="376" t="s">
        <v>101</v>
      </c>
      <c r="C103" s="376"/>
      <c r="D103" s="376"/>
      <c r="E103" s="25">
        <v>0</v>
      </c>
      <c r="F103" s="25">
        <v>0</v>
      </c>
      <c r="G103" s="25">
        <v>0</v>
      </c>
      <c r="H103" s="257">
        <v>0</v>
      </c>
      <c r="I103" s="25">
        <f>I97</f>
        <v>0</v>
      </c>
      <c r="J103" s="25">
        <f>J97</f>
        <v>0</v>
      </c>
    </row>
    <row r="104" spans="1:16" s="137" customFormat="1" ht="12.75" customHeight="1" x14ac:dyDescent="0.2">
      <c r="A104" s="369" t="s">
        <v>102</v>
      </c>
      <c r="B104" s="369"/>
      <c r="C104" s="369"/>
      <c r="D104" s="369"/>
      <c r="E104" s="35">
        <v>252.14</v>
      </c>
      <c r="F104" s="35">
        <v>261.32</v>
      </c>
      <c r="G104" s="35">
        <v>261.32</v>
      </c>
      <c r="H104" s="35">
        <v>277.04000000000002</v>
      </c>
      <c r="I104" s="35">
        <f>ROUND(SUM(I102:I103),2)</f>
        <v>277.04000000000002</v>
      </c>
      <c r="J104" s="35">
        <f>ROUND(SUM(J102:J103),2)</f>
        <v>307.31</v>
      </c>
      <c r="K104" s="9"/>
      <c r="L104" s="9"/>
      <c r="N104" s="9"/>
      <c r="O104" s="9"/>
      <c r="P104" s="9"/>
    </row>
    <row r="106" spans="1:16" s="137" customFormat="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>
        <v>17.690000000000001</v>
      </c>
      <c r="J109" s="279">
        <f>'Uniformes e Equiptos'!H41</f>
        <v>19.46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  <c r="K111" s="9"/>
      <c r="L111" s="9"/>
      <c r="N111" s="9"/>
      <c r="O111" s="9"/>
      <c r="P111" s="9"/>
    </row>
    <row r="113" spans="1:16" s="137" customFormat="1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124.72</v>
      </c>
      <c r="F115" s="34">
        <v>129.03</v>
      </c>
      <c r="G115" s="34">
        <v>129</v>
      </c>
      <c r="H115" s="263">
        <v>136.44999999999999</v>
      </c>
      <c r="I115" s="34">
        <v>136.6</v>
      </c>
      <c r="J115" s="34">
        <f>ROUND(J130*D115,2)</f>
        <v>150.77000000000001</v>
      </c>
      <c r="K115" s="132"/>
      <c r="L115" s="138"/>
      <c r="M115" s="213"/>
      <c r="N115" s="170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2.1264755183842379E-2</v>
      </c>
      <c r="E116" s="34">
        <v>91.06</v>
      </c>
      <c r="F116" s="34">
        <v>94.21</v>
      </c>
      <c r="G116" s="34">
        <v>94.18</v>
      </c>
      <c r="H116" s="263">
        <v>99.62</v>
      </c>
      <c r="I116" s="34">
        <v>99.73</v>
      </c>
      <c r="J116" s="34">
        <f>ROUND((J130+J115)*D116,2)</f>
        <v>110.07</v>
      </c>
      <c r="K116" s="133"/>
      <c r="L116" s="139"/>
      <c r="M116" s="170"/>
      <c r="N116" s="170"/>
      <c r="O116" s="9"/>
      <c r="P116" s="9"/>
    </row>
    <row r="117" spans="1:16" s="137" customFormat="1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30.29</v>
      </c>
      <c r="F118" s="34">
        <v>31.34</v>
      </c>
      <c r="G118" s="34">
        <v>31.33</v>
      </c>
      <c r="H118" s="263">
        <v>33.14</v>
      </c>
      <c r="I118" s="34">
        <v>33.17</v>
      </c>
      <c r="J118" s="34">
        <f>ROUND((($J$130+$J$115+$J$116)/(1-($D$118+$D$119+$D$120)))*D118,2)</f>
        <v>36.61</v>
      </c>
      <c r="K118" s="364"/>
      <c r="L118" s="365"/>
      <c r="N118" s="9"/>
      <c r="O118" s="9"/>
      <c r="P118" s="9"/>
    </row>
    <row r="119" spans="1:16" s="137" customFormat="1" x14ac:dyDescent="0.2">
      <c r="A119" s="32" t="s">
        <v>108</v>
      </c>
      <c r="B119" s="366" t="s">
        <v>14</v>
      </c>
      <c r="C119" s="367"/>
      <c r="D119" s="51">
        <v>0.03</v>
      </c>
      <c r="E119" s="34">
        <v>139.79</v>
      </c>
      <c r="F119" s="34">
        <v>144.63</v>
      </c>
      <c r="G119" s="34">
        <v>144.59</v>
      </c>
      <c r="H119" s="263">
        <v>152.94</v>
      </c>
      <c r="I119" s="34">
        <v>153.1</v>
      </c>
      <c r="J119" s="34">
        <f>ROUND((($J$130+$J$115+$J$116)/(1-($D$118+$D$119+$D$120)))*D119,2)</f>
        <v>168.98</v>
      </c>
      <c r="K119" s="364"/>
      <c r="L119" s="365"/>
      <c r="N119" s="9"/>
      <c r="O119" s="9"/>
      <c r="P119" s="9"/>
    </row>
    <row r="120" spans="1:16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116.49</v>
      </c>
      <c r="F120" s="34">
        <v>120.52</v>
      </c>
      <c r="G120" s="34">
        <v>120.49</v>
      </c>
      <c r="H120" s="263">
        <v>127.45</v>
      </c>
      <c r="I120" s="34">
        <v>127.59</v>
      </c>
      <c r="J120" s="34">
        <f>ROUND((($J$130+$J$115+$J$116)/(1-($D$118+$D$119+$D$120)))*D120,2)</f>
        <v>140.82</v>
      </c>
    </row>
    <row r="121" spans="1:16" ht="12.75" customHeight="1" x14ac:dyDescent="0.2">
      <c r="A121" s="370" t="s">
        <v>157</v>
      </c>
      <c r="B121" s="371"/>
      <c r="C121" s="372"/>
      <c r="D121" s="47">
        <f>SUM(D115:D120)</f>
        <v>0.11276475518384238</v>
      </c>
      <c r="E121" s="31">
        <v>502.35</v>
      </c>
      <c r="F121" s="31">
        <v>519.73</v>
      </c>
      <c r="G121" s="31">
        <v>519.59</v>
      </c>
      <c r="H121" s="31">
        <v>549.6</v>
      </c>
      <c r="I121" s="31">
        <f>SUM(I115:I120)</f>
        <v>550.19000000000005</v>
      </c>
      <c r="J121" s="31">
        <f>SUM(J115:J120)</f>
        <v>607.25</v>
      </c>
    </row>
    <row r="123" spans="1:16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6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376" t="s">
        <v>65</v>
      </c>
      <c r="C125" s="376"/>
      <c r="D125" s="376"/>
      <c r="E125" s="25">
        <v>2058.63</v>
      </c>
      <c r="F125" s="25">
        <v>2133.7199999999998</v>
      </c>
      <c r="G125" s="25">
        <v>2133.7199999999998</v>
      </c>
      <c r="H125" s="257">
        <v>2261.9899999999998</v>
      </c>
      <c r="I125" s="25">
        <v>2261.9899999999998</v>
      </c>
      <c r="J125" s="25">
        <f>J39</f>
        <v>2509.15</v>
      </c>
    </row>
    <row r="126" spans="1:16" x14ac:dyDescent="0.2">
      <c r="A126" s="136" t="s">
        <v>1</v>
      </c>
      <c r="B126" s="376" t="s">
        <v>68</v>
      </c>
      <c r="C126" s="376"/>
      <c r="D126" s="376"/>
      <c r="E126" s="25">
        <v>1696.98</v>
      </c>
      <c r="F126" s="25">
        <v>1752.31</v>
      </c>
      <c r="G126" s="25">
        <v>1772.31</v>
      </c>
      <c r="H126" s="257">
        <v>1870.54</v>
      </c>
      <c r="I126" s="25">
        <v>1875.54</v>
      </c>
      <c r="J126" s="25">
        <f>J69</f>
        <v>2055.5700000000002</v>
      </c>
    </row>
    <row r="127" spans="1:16" x14ac:dyDescent="0.2">
      <c r="A127" s="136" t="s">
        <v>2</v>
      </c>
      <c r="B127" s="376" t="s">
        <v>84</v>
      </c>
      <c r="C127" s="376"/>
      <c r="D127" s="376"/>
      <c r="E127" s="25">
        <v>114.91</v>
      </c>
      <c r="F127" s="25">
        <v>119.1</v>
      </c>
      <c r="G127" s="25">
        <v>98.09</v>
      </c>
      <c r="H127" s="257">
        <v>104</v>
      </c>
      <c r="I127" s="25">
        <v>104</v>
      </c>
      <c r="J127" s="25">
        <f>J79</f>
        <v>115.34</v>
      </c>
    </row>
    <row r="128" spans="1:16" x14ac:dyDescent="0.2">
      <c r="A128" s="56" t="s">
        <v>3</v>
      </c>
      <c r="B128" s="376" t="s">
        <v>92</v>
      </c>
      <c r="C128" s="376"/>
      <c r="D128" s="376"/>
      <c r="E128" s="25">
        <v>252.14</v>
      </c>
      <c r="F128" s="25">
        <v>261.32</v>
      </c>
      <c r="G128" s="25">
        <v>261.32</v>
      </c>
      <c r="H128" s="257">
        <v>277.04000000000002</v>
      </c>
      <c r="I128" s="25">
        <v>277.04000000000002</v>
      </c>
      <c r="J128" s="25">
        <f>J104</f>
        <v>307.31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>
        <v>34.69</v>
      </c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4157.3499999999995</v>
      </c>
      <c r="F130" s="60">
        <v>4301.1399999999994</v>
      </c>
      <c r="G130" s="60">
        <v>4300.1299999999992</v>
      </c>
      <c r="H130" s="60">
        <v>4548.2599999999993</v>
      </c>
      <c r="I130" s="60">
        <v>4553.2599999999993</v>
      </c>
      <c r="J130" s="60">
        <f>SUM(J125:J129)</f>
        <v>5025.5500000000011</v>
      </c>
    </row>
    <row r="131" spans="1:12" x14ac:dyDescent="0.2">
      <c r="A131" s="136" t="s">
        <v>5</v>
      </c>
      <c r="B131" s="376" t="s">
        <v>105</v>
      </c>
      <c r="C131" s="376"/>
      <c r="D131" s="376"/>
      <c r="E131" s="25">
        <v>502.35</v>
      </c>
      <c r="F131" s="25">
        <v>519.73</v>
      </c>
      <c r="G131" s="25">
        <v>519.59</v>
      </c>
      <c r="H131" s="257">
        <v>549.6</v>
      </c>
      <c r="I131" s="25">
        <v>550.19000000000005</v>
      </c>
      <c r="J131" s="25">
        <f>J121</f>
        <v>607.25</v>
      </c>
    </row>
    <row r="132" spans="1:12" x14ac:dyDescent="0.2">
      <c r="A132" s="369" t="s">
        <v>113</v>
      </c>
      <c r="B132" s="369"/>
      <c r="C132" s="369"/>
      <c r="D132" s="369"/>
      <c r="E132" s="119">
        <v>4659.7</v>
      </c>
      <c r="F132" s="119">
        <v>4820.87</v>
      </c>
      <c r="G132" s="119">
        <v>4819.72</v>
      </c>
      <c r="H132" s="119">
        <v>5097.8599999999997</v>
      </c>
      <c r="I132" s="119">
        <v>5103.45</v>
      </c>
      <c r="J132" s="119">
        <f>ROUND(SUM(J130:J131),2)</f>
        <v>5632.8</v>
      </c>
    </row>
    <row r="133" spans="1:12" x14ac:dyDescent="0.2">
      <c r="A133" s="380" t="s">
        <v>140</v>
      </c>
      <c r="B133" s="380"/>
      <c r="C133" s="380"/>
      <c r="D133" s="380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x14ac:dyDescent="0.2">
      <c r="A134" s="368" t="s">
        <v>141</v>
      </c>
      <c r="B134" s="368"/>
      <c r="C134" s="368"/>
      <c r="D134" s="368"/>
      <c r="E134" s="233">
        <v>4659.7</v>
      </c>
      <c r="F134" s="233">
        <v>4820.87</v>
      </c>
      <c r="G134" s="111">
        <v>4819.72</v>
      </c>
      <c r="H134" s="111">
        <v>5097.8599999999997</v>
      </c>
      <c r="I134" s="111">
        <f>ROUND(I132*I133,2)</f>
        <v>5103.45</v>
      </c>
      <c r="J134" s="111">
        <f>ROUND(J132*J133,2)</f>
        <v>5632.8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3"/>
  </sheetPr>
  <dimension ref="A1:P134"/>
  <sheetViews>
    <sheetView view="pageBreakPreview" topLeftCell="A100" zoomScaleNormal="100" zoomScaleSheetLayoutView="100" workbookViewId="0">
      <selection activeCell="J108" sqref="J108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65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15"/>
      <c r="B2" s="115"/>
      <c r="C2" s="115"/>
      <c r="D2" s="115"/>
      <c r="E2" s="226"/>
      <c r="F2" s="237"/>
      <c r="G2" s="248"/>
      <c r="H2" s="248"/>
      <c r="I2" s="252"/>
      <c r="J2" s="115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2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2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2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2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ht="38.25" x14ac:dyDescent="0.2">
      <c r="A16" s="387" t="s">
        <v>145</v>
      </c>
      <c r="B16" s="387"/>
      <c r="C16" s="21" t="s">
        <v>189</v>
      </c>
      <c r="D16" s="387">
        <v>2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15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2</v>
      </c>
      <c r="F28" s="188">
        <v>2</v>
      </c>
      <c r="G28" s="188">
        <v>2</v>
      </c>
      <c r="H28" s="261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>
        <v>1590.6</v>
      </c>
      <c r="J32" s="276">
        <f>J21</f>
        <v>1764.4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16.45</v>
      </c>
      <c r="F34" s="34">
        <v>17.05</v>
      </c>
      <c r="G34" s="34">
        <v>17.05</v>
      </c>
      <c r="H34" s="263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0</v>
      </c>
      <c r="F35" s="34">
        <v>0</v>
      </c>
      <c r="G35" s="34">
        <v>0</v>
      </c>
      <c r="H35" s="263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0</v>
      </c>
      <c r="F36" s="34">
        <v>0</v>
      </c>
      <c r="G36" s="34">
        <v>0</v>
      </c>
      <c r="H36" s="263">
        <v>0</v>
      </c>
      <c r="I36" s="34">
        <v>0</v>
      </c>
      <c r="J36" s="34">
        <v>0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2.74</v>
      </c>
      <c r="F37" s="34">
        <v>2.84</v>
      </c>
      <c r="G37" s="34">
        <v>2.84</v>
      </c>
      <c r="H37" s="263">
        <v>3.01</v>
      </c>
      <c r="I37" s="34">
        <v>3.01</v>
      </c>
      <c r="J37" s="34">
        <f>ROUND((J34+J35+J36)*16.67%,2)</f>
        <v>3.34</v>
      </c>
      <c r="K37" s="170">
        <f>ROUND((J34)*16.67%,2)</f>
        <v>3.34</v>
      </c>
      <c r="M37" s="9"/>
    </row>
    <row r="38" spans="1:14" x14ac:dyDescent="0.2">
      <c r="A38" s="32" t="s">
        <v>6</v>
      </c>
      <c r="B38" s="366" t="s">
        <v>216</v>
      </c>
      <c r="C38" s="367"/>
      <c r="D38" s="33"/>
      <c r="E38" s="34">
        <v>0</v>
      </c>
      <c r="F38" s="34">
        <v>0</v>
      </c>
      <c r="G38" s="34">
        <v>0</v>
      </c>
      <c r="H38" s="263">
        <v>0</v>
      </c>
      <c r="I38" s="34">
        <v>0</v>
      </c>
      <c r="J38" s="34">
        <v>0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1901.07</v>
      </c>
      <c r="F39" s="31">
        <v>1970.41</v>
      </c>
      <c r="G39" s="35">
        <v>1970.41</v>
      </c>
      <c r="H39" s="35">
        <v>2088.87</v>
      </c>
      <c r="I39" s="35">
        <f>ROUND(SUM(I32:I38),2)</f>
        <v>2088.87</v>
      </c>
      <c r="J39" s="35">
        <f>ROUND(SUM(J32:J38),2)</f>
        <v>2317.11</v>
      </c>
      <c r="K39" s="35">
        <f>ROUND(SUM(J32:J38),2)-J34-K37</f>
        <v>2293.7199999999998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263">
        <v>172.25</v>
      </c>
      <c r="I43" s="34">
        <v>172.25</v>
      </c>
      <c r="J43" s="34">
        <f>ROUND(D43*$K$39,2)</f>
        <v>191.07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263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263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263">
        <v>51.69</v>
      </c>
      <c r="I49" s="34">
        <v>51.69</v>
      </c>
      <c r="J49" s="34">
        <f t="shared" si="0"/>
        <v>57.34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263">
        <v>84.37</v>
      </c>
      <c r="I50" s="34">
        <v>84.37</v>
      </c>
      <c r="J50" s="34">
        <f t="shared" si="0"/>
        <v>93.58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263">
        <v>31.02</v>
      </c>
      <c r="I51" s="34">
        <v>31.02</v>
      </c>
      <c r="J51" s="34">
        <f t="shared" si="0"/>
        <v>34.409999999999997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263">
        <v>20.68</v>
      </c>
      <c r="I52" s="34">
        <v>20.68</v>
      </c>
      <c r="J52" s="34">
        <f t="shared" si="0"/>
        <v>22.94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263">
        <v>12.41</v>
      </c>
      <c r="I53" s="34">
        <v>12.41</v>
      </c>
      <c r="J53" s="34">
        <f t="shared" si="0"/>
        <v>13.76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263">
        <v>4.1399999999999997</v>
      </c>
      <c r="I54" s="34">
        <v>4.1399999999999997</v>
      </c>
      <c r="J54" s="34">
        <f t="shared" si="0"/>
        <v>4.59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263">
        <v>165.42</v>
      </c>
      <c r="I55" s="34">
        <v>165.42</v>
      </c>
      <c r="J55" s="34">
        <f t="shared" si="0"/>
        <v>183.5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42.14</v>
      </c>
      <c r="F59" s="34">
        <v>38.979999999999997</v>
      </c>
      <c r="G59" s="34">
        <v>50.98</v>
      </c>
      <c r="H59" s="263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367"/>
      <c r="D60" s="38" t="s">
        <v>76</v>
      </c>
      <c r="E60" s="34">
        <v>230.76</v>
      </c>
      <c r="F60" s="263">
        <v>240</v>
      </c>
      <c r="G60" s="263">
        <v>240</v>
      </c>
      <c r="H60" s="263">
        <v>258</v>
      </c>
      <c r="I60" s="263">
        <v>258</v>
      </c>
      <c r="J60" s="276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2" t="s">
        <v>79</v>
      </c>
      <c r="B66" s="376" t="s">
        <v>80</v>
      </c>
      <c r="C66" s="376"/>
      <c r="D66" s="376"/>
      <c r="E66" s="228">
        <v>384.47</v>
      </c>
      <c r="F66" s="25">
        <v>398.49</v>
      </c>
      <c r="G66" s="25">
        <v>398.49</v>
      </c>
      <c r="H66" s="257">
        <v>422.45</v>
      </c>
      <c r="I66" s="25">
        <v>422.45</v>
      </c>
      <c r="J66" s="25">
        <f>J45</f>
        <v>468.61</v>
      </c>
    </row>
    <row r="67" spans="1:10" x14ac:dyDescent="0.2">
      <c r="A67" s="12" t="s">
        <v>81</v>
      </c>
      <c r="B67" s="376" t="s">
        <v>82</v>
      </c>
      <c r="C67" s="376"/>
      <c r="D67" s="376"/>
      <c r="E67" s="228">
        <v>712.86</v>
      </c>
      <c r="F67" s="25">
        <v>738.85</v>
      </c>
      <c r="G67" s="25">
        <v>738.85</v>
      </c>
      <c r="H67" s="257">
        <v>783.29</v>
      </c>
      <c r="I67" s="25">
        <v>783.29</v>
      </c>
      <c r="J67" s="25">
        <f>J56</f>
        <v>868.86</v>
      </c>
    </row>
    <row r="68" spans="1:10" x14ac:dyDescent="0.2">
      <c r="A68" s="12" t="s">
        <v>83</v>
      </c>
      <c r="B68" s="376" t="s">
        <v>25</v>
      </c>
      <c r="C68" s="376"/>
      <c r="D68" s="376"/>
      <c r="E68" s="228">
        <v>275.39999999999998</v>
      </c>
      <c r="F68" s="25">
        <v>281.48</v>
      </c>
      <c r="G68" s="25">
        <v>293.48</v>
      </c>
      <c r="H68" s="257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1372.73</v>
      </c>
      <c r="F69" s="128">
        <v>1418.82</v>
      </c>
      <c r="G69" s="35">
        <v>1430.82</v>
      </c>
      <c r="H69" s="35">
        <v>1511.8</v>
      </c>
      <c r="I69" s="35">
        <f>ROUND(SUM(I66:I68),2)</f>
        <v>1514.8</v>
      </c>
      <c r="J69" s="35">
        <f>ROUND(SUM(J66:J68),2)</f>
        <v>1665.27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263">
        <v>8.68</v>
      </c>
      <c r="I73" s="34">
        <v>8.68</v>
      </c>
      <c r="J73" s="34">
        <f t="shared" ref="J73:J78" si="1">ROUND(D73*$K$39,2)</f>
        <v>9.6300000000000008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263">
        <v>0.62</v>
      </c>
      <c r="I74" s="34">
        <v>0.62</v>
      </c>
      <c r="J74" s="34">
        <f t="shared" si="1"/>
        <v>0.69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263">
        <v>3.97</v>
      </c>
      <c r="I75" s="34">
        <v>3.97</v>
      </c>
      <c r="J75" s="34">
        <f t="shared" si="1"/>
        <v>4.4000000000000004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263">
        <v>3.31</v>
      </c>
      <c r="I76" s="34">
        <v>3.31</v>
      </c>
      <c r="J76" s="34">
        <f t="shared" si="1"/>
        <v>3.67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263">
        <v>1.24</v>
      </c>
      <c r="I77" s="34">
        <v>1.24</v>
      </c>
      <c r="J77" s="34">
        <f t="shared" si="1"/>
        <v>1.38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263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3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3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3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263">
        <v>20.88</v>
      </c>
      <c r="I83" s="34">
        <v>20.88</v>
      </c>
      <c r="J83" s="34">
        <f t="shared" ref="J83:J88" si="2">ROUND(D83*$K$39,2)</f>
        <v>23.17</v>
      </c>
    </row>
    <row r="84" spans="1:13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263">
        <v>11.58</v>
      </c>
      <c r="I84" s="34">
        <v>11.58</v>
      </c>
      <c r="J84" s="34">
        <f t="shared" si="2"/>
        <v>12.84</v>
      </c>
    </row>
    <row r="85" spans="1:13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263">
        <v>28.74</v>
      </c>
      <c r="I85" s="34">
        <v>28.74</v>
      </c>
      <c r="J85" s="34">
        <f t="shared" si="2"/>
        <v>31.88</v>
      </c>
      <c r="M85" s="114"/>
    </row>
    <row r="86" spans="1:13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263">
        <v>3.52</v>
      </c>
      <c r="I86" s="34">
        <v>3.52</v>
      </c>
      <c r="J86" s="34">
        <f t="shared" si="2"/>
        <v>3.9</v>
      </c>
    </row>
    <row r="87" spans="1:13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263">
        <v>4.34</v>
      </c>
      <c r="I87" s="34">
        <v>4.34</v>
      </c>
      <c r="J87" s="34">
        <f t="shared" si="2"/>
        <v>4.82</v>
      </c>
    </row>
    <row r="88" spans="1:13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263">
        <v>1.45</v>
      </c>
      <c r="I88" s="34">
        <v>1.45</v>
      </c>
      <c r="J88" s="34">
        <f t="shared" si="2"/>
        <v>1.61</v>
      </c>
    </row>
    <row r="89" spans="1:13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3" x14ac:dyDescent="0.2">
      <c r="E90" s="10"/>
      <c r="F90" s="10"/>
      <c r="M90" s="121"/>
    </row>
    <row r="91" spans="1:13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  <c r="M91" s="121"/>
    </row>
    <row r="92" spans="1:13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263">
        <v>186.73</v>
      </c>
      <c r="I92" s="34">
        <v>186.73</v>
      </c>
      <c r="J92" s="34">
        <f>ROUND(D92*$K$39,2)</f>
        <v>207.14</v>
      </c>
      <c r="M92" s="121"/>
    </row>
    <row r="93" spans="1:13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  <c r="M93" s="121"/>
    </row>
    <row r="94" spans="1:13" x14ac:dyDescent="0.2">
      <c r="E94" s="10"/>
      <c r="F94" s="10"/>
    </row>
    <row r="95" spans="1:13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3" x14ac:dyDescent="0.2">
      <c r="A96" s="32" t="s">
        <v>0</v>
      </c>
      <c r="B96" s="366" t="s">
        <v>251</v>
      </c>
      <c r="C96" s="382"/>
      <c r="D96" s="367"/>
      <c r="E96" s="34">
        <v>74.03</v>
      </c>
      <c r="F96" s="34">
        <v>76.73</v>
      </c>
      <c r="G96" s="34">
        <v>76.73</v>
      </c>
      <c r="H96" s="263">
        <v>81.34</v>
      </c>
      <c r="I96" s="34">
        <f>ROUND((I21/220)*M16*1.5*0.25,2)</f>
        <v>40.67</v>
      </c>
      <c r="J96" s="34">
        <f>ROUND((J21/220)*M16*1.5*0.5,2)</f>
        <v>90.23</v>
      </c>
    </row>
    <row r="97" spans="1:13" ht="12.75" customHeight="1" x14ac:dyDescent="0.2">
      <c r="A97" s="370" t="s">
        <v>156</v>
      </c>
      <c r="B97" s="371"/>
      <c r="C97" s="371"/>
      <c r="D97" s="372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3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99" spans="1:13" x14ac:dyDescent="0.2">
      <c r="M99" s="114"/>
    </row>
    <row r="100" spans="1:13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3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3" x14ac:dyDescent="0.2">
      <c r="A102" s="48" t="s">
        <v>26</v>
      </c>
      <c r="B102" s="376" t="s">
        <v>95</v>
      </c>
      <c r="C102" s="376"/>
      <c r="D102" s="376"/>
      <c r="E102" s="25">
        <v>234.12</v>
      </c>
      <c r="F102" s="25">
        <v>242.66</v>
      </c>
      <c r="G102" s="25">
        <v>242.66</v>
      </c>
      <c r="H102" s="257">
        <v>257.24</v>
      </c>
      <c r="I102" s="25">
        <v>257.24</v>
      </c>
      <c r="J102" s="25">
        <f>ROUND(J89+J93,2)</f>
        <v>285.36</v>
      </c>
    </row>
    <row r="103" spans="1:13" x14ac:dyDescent="0.2">
      <c r="A103" s="48" t="s">
        <v>27</v>
      </c>
      <c r="B103" s="376" t="s">
        <v>101</v>
      </c>
      <c r="C103" s="376"/>
      <c r="D103" s="376"/>
      <c r="E103" s="25">
        <v>74.03</v>
      </c>
      <c r="F103" s="25">
        <v>76.73</v>
      </c>
      <c r="G103" s="25">
        <v>76.73</v>
      </c>
      <c r="H103" s="257">
        <v>81.34</v>
      </c>
      <c r="I103" s="25">
        <f>I97</f>
        <v>40.67</v>
      </c>
      <c r="J103" s="25">
        <f>J97</f>
        <v>90.23</v>
      </c>
    </row>
    <row r="104" spans="1:13" ht="12.75" customHeight="1" x14ac:dyDescent="0.2">
      <c r="A104" s="369" t="s">
        <v>102</v>
      </c>
      <c r="B104" s="369"/>
      <c r="C104" s="369"/>
      <c r="D104" s="369"/>
      <c r="E104" s="35">
        <v>308.14999999999998</v>
      </c>
      <c r="F104" s="35">
        <v>319.39</v>
      </c>
      <c r="G104" s="35">
        <v>319.39</v>
      </c>
      <c r="H104" s="35">
        <v>338.58</v>
      </c>
      <c r="I104" s="35">
        <f>ROUND(SUM(I102:I103),2)</f>
        <v>297.91000000000003</v>
      </c>
      <c r="J104" s="35">
        <f>ROUND(SUM(J102:J103),2)</f>
        <v>375.59</v>
      </c>
    </row>
    <row r="106" spans="1:13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</row>
    <row r="107" spans="1:13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3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</row>
    <row r="109" spans="1:13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>
        <v>17.690000000000001</v>
      </c>
      <c r="J109" s="279">
        <f>'Uniformes e Equiptos'!H41</f>
        <v>19.46</v>
      </c>
      <c r="K109" s="49"/>
    </row>
    <row r="110" spans="1:13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</row>
    <row r="111" spans="1:13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</row>
    <row r="113" spans="1:12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</row>
    <row r="114" spans="1:12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111.7</v>
      </c>
      <c r="F115" s="34">
        <v>115.62</v>
      </c>
      <c r="G115" s="34">
        <v>115.39</v>
      </c>
      <c r="H115" s="263">
        <v>122.12</v>
      </c>
      <c r="I115" s="34">
        <v>122.21</v>
      </c>
      <c r="J115" s="34">
        <f>ROUND(J130*D115,2)</f>
        <v>135.1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39.119999999999997</v>
      </c>
      <c r="F116" s="34">
        <v>40.49</v>
      </c>
      <c r="G116" s="34">
        <v>40.409999999999997</v>
      </c>
      <c r="H116" s="263">
        <v>42.76</v>
      </c>
      <c r="I116" s="34">
        <v>42.8</v>
      </c>
      <c r="J116" s="34">
        <f>ROUND((J130+J115)*D116,2)</f>
        <v>47.31</v>
      </c>
      <c r="K116" s="133"/>
      <c r="L116" s="139"/>
    </row>
    <row r="117" spans="1:12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</row>
    <row r="118" spans="1:12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26.83</v>
      </c>
      <c r="F118" s="34">
        <v>27.77</v>
      </c>
      <c r="G118" s="34">
        <v>27.72</v>
      </c>
      <c r="H118" s="263">
        <v>29.33</v>
      </c>
      <c r="I118" s="34">
        <v>29.36</v>
      </c>
      <c r="J118" s="34">
        <f>ROUND((($J$130+$J$115+$J$116)/(1-($D$118+$D$119+$D$120)))*D118,2)</f>
        <v>32.450000000000003</v>
      </c>
      <c r="K118" s="364"/>
      <c r="L118" s="365"/>
    </row>
    <row r="119" spans="1:12" x14ac:dyDescent="0.2">
      <c r="A119" s="32" t="s">
        <v>108</v>
      </c>
      <c r="B119" s="366" t="s">
        <v>14</v>
      </c>
      <c r="C119" s="367"/>
      <c r="D119" s="51">
        <v>0.03</v>
      </c>
      <c r="E119" s="34">
        <v>123.84</v>
      </c>
      <c r="F119" s="34">
        <v>128.18</v>
      </c>
      <c r="G119" s="34">
        <v>127.93</v>
      </c>
      <c r="H119" s="263">
        <v>135.38999999999999</v>
      </c>
      <c r="I119" s="34">
        <v>135.49</v>
      </c>
      <c r="J119" s="34">
        <f>ROUND((($J$130+$J$115+$J$116)/(1-($D$118+$D$119+$D$120)))*D119,2)</f>
        <v>149.78</v>
      </c>
      <c r="K119" s="364"/>
      <c r="L119" s="365"/>
    </row>
    <row r="120" spans="1:12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103.2</v>
      </c>
      <c r="F120" s="34">
        <v>106.82</v>
      </c>
      <c r="G120" s="34">
        <v>106.61</v>
      </c>
      <c r="H120" s="263">
        <v>112.82</v>
      </c>
      <c r="I120" s="34">
        <v>112.91</v>
      </c>
      <c r="J120" s="34">
        <f>ROUND((($J$130+$J$115+$J$116)/(1-($D$118+$D$119+$D$120)))*D120,2)</f>
        <v>124.82</v>
      </c>
    </row>
    <row r="121" spans="1:12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404.69</v>
      </c>
      <c r="F121" s="31">
        <v>418.88000000000005</v>
      </c>
      <c r="G121" s="31">
        <v>418.06000000000006</v>
      </c>
      <c r="H121" s="31">
        <v>442.41999999999996</v>
      </c>
      <c r="I121" s="31">
        <f>SUM(I115:I120)</f>
        <v>442.77</v>
      </c>
      <c r="J121" s="31">
        <f>SUM(J115:J120)</f>
        <v>489.46</v>
      </c>
    </row>
    <row r="123" spans="1:12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2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21" t="s">
        <v>0</v>
      </c>
      <c r="B125" s="376" t="s">
        <v>65</v>
      </c>
      <c r="C125" s="376"/>
      <c r="D125" s="376"/>
      <c r="E125" s="25">
        <v>1901.07</v>
      </c>
      <c r="F125" s="25">
        <v>1970.41</v>
      </c>
      <c r="G125" s="25">
        <v>1970.41</v>
      </c>
      <c r="H125" s="257">
        <v>2088.87</v>
      </c>
      <c r="I125" s="25">
        <v>2088.87</v>
      </c>
      <c r="J125" s="25">
        <f>J39</f>
        <v>2317.11</v>
      </c>
    </row>
    <row r="126" spans="1:12" x14ac:dyDescent="0.2">
      <c r="A126" s="21" t="s">
        <v>1</v>
      </c>
      <c r="B126" s="376" t="s">
        <v>68</v>
      </c>
      <c r="C126" s="376"/>
      <c r="D126" s="376"/>
      <c r="E126" s="25">
        <v>1372.73</v>
      </c>
      <c r="F126" s="25">
        <v>1418.82</v>
      </c>
      <c r="G126" s="25">
        <v>1430.82</v>
      </c>
      <c r="H126" s="257">
        <v>1511.8</v>
      </c>
      <c r="I126" s="25">
        <v>1514.8</v>
      </c>
      <c r="J126" s="25">
        <f>J69</f>
        <v>1665.27</v>
      </c>
    </row>
    <row r="127" spans="1:12" x14ac:dyDescent="0.2">
      <c r="A127" s="21" t="s">
        <v>2</v>
      </c>
      <c r="B127" s="376" t="s">
        <v>84</v>
      </c>
      <c r="C127" s="376"/>
      <c r="D127" s="376"/>
      <c r="E127" s="25">
        <v>106.7</v>
      </c>
      <c r="F127" s="25">
        <v>110.59</v>
      </c>
      <c r="G127" s="25">
        <v>91.09</v>
      </c>
      <c r="H127" s="257">
        <v>96.56</v>
      </c>
      <c r="I127" s="25">
        <v>96.56</v>
      </c>
      <c r="J127" s="25">
        <f>J79</f>
        <v>107.11</v>
      </c>
    </row>
    <row r="128" spans="1:12" x14ac:dyDescent="0.2">
      <c r="A128" s="56" t="s">
        <v>3</v>
      </c>
      <c r="B128" s="376" t="s">
        <v>92</v>
      </c>
      <c r="C128" s="376"/>
      <c r="D128" s="376"/>
      <c r="E128" s="25">
        <v>308.14999999999998</v>
      </c>
      <c r="F128" s="25">
        <v>319.39</v>
      </c>
      <c r="G128" s="25">
        <v>319.39</v>
      </c>
      <c r="H128" s="257">
        <v>338.58</v>
      </c>
      <c r="I128" s="25">
        <v>338.58</v>
      </c>
      <c r="J128" s="25">
        <f>J104</f>
        <v>375.59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>
        <v>34.69</v>
      </c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3723.34</v>
      </c>
      <c r="F130" s="60">
        <v>3853.9</v>
      </c>
      <c r="G130" s="60">
        <v>3846.4</v>
      </c>
      <c r="H130" s="60">
        <v>4070.5</v>
      </c>
      <c r="I130" s="60">
        <v>4073.5</v>
      </c>
      <c r="J130" s="60">
        <f>SUM(J125:J129)</f>
        <v>4503.26</v>
      </c>
    </row>
    <row r="131" spans="1:12" x14ac:dyDescent="0.2">
      <c r="A131" s="21" t="s">
        <v>5</v>
      </c>
      <c r="B131" s="376" t="s">
        <v>105</v>
      </c>
      <c r="C131" s="376"/>
      <c r="D131" s="376"/>
      <c r="E131" s="25">
        <v>404.69</v>
      </c>
      <c r="F131" s="25">
        <v>418.88000000000005</v>
      </c>
      <c r="G131" s="25">
        <v>418.06000000000006</v>
      </c>
      <c r="H131" s="257">
        <v>442.41999999999996</v>
      </c>
      <c r="I131" s="25">
        <v>442.77</v>
      </c>
      <c r="J131" s="25">
        <f>J121</f>
        <v>489.46</v>
      </c>
    </row>
    <row r="132" spans="1:12" x14ac:dyDescent="0.2">
      <c r="A132" s="369" t="s">
        <v>113</v>
      </c>
      <c r="B132" s="369"/>
      <c r="C132" s="369"/>
      <c r="D132" s="369"/>
      <c r="E132" s="119">
        <v>4128.03</v>
      </c>
      <c r="F132" s="119">
        <v>4272.78</v>
      </c>
      <c r="G132" s="119">
        <v>4264.46</v>
      </c>
      <c r="H132" s="119">
        <v>4512.92</v>
      </c>
      <c r="I132" s="119">
        <v>4516.2700000000004</v>
      </c>
      <c r="J132" s="119">
        <f>SUM(J130:J131)</f>
        <v>4992.72</v>
      </c>
    </row>
    <row r="133" spans="1:12" x14ac:dyDescent="0.2">
      <c r="A133" s="380" t="s">
        <v>140</v>
      </c>
      <c r="B133" s="380"/>
      <c r="C133" s="380"/>
      <c r="D133" s="380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368" t="s">
        <v>141</v>
      </c>
      <c r="B134" s="368"/>
      <c r="C134" s="368"/>
      <c r="D134" s="368"/>
      <c r="E134" s="233">
        <v>8256.06</v>
      </c>
      <c r="F134" s="233">
        <v>8545.56</v>
      </c>
      <c r="G134" s="111">
        <v>8528.92</v>
      </c>
      <c r="H134" s="111">
        <v>9025.84</v>
      </c>
      <c r="I134" s="111">
        <f>(I132*I133)</f>
        <v>9032.5400000000009</v>
      </c>
      <c r="J134" s="111">
        <f>(J132*J133)</f>
        <v>9985.44</v>
      </c>
    </row>
  </sheetData>
  <mergeCells count="123">
    <mergeCell ref="L3:M3"/>
    <mergeCell ref="A134:D134"/>
    <mergeCell ref="A133:D133"/>
    <mergeCell ref="A97:D97"/>
    <mergeCell ref="B96:D96"/>
    <mergeCell ref="A95:D95"/>
    <mergeCell ref="B131:D131"/>
    <mergeCell ref="A132:D132"/>
    <mergeCell ref="B125:D125"/>
    <mergeCell ref="B126:D126"/>
    <mergeCell ref="B127:D127"/>
    <mergeCell ref="B128:D128"/>
    <mergeCell ref="B129:D129"/>
    <mergeCell ref="B130:D130"/>
    <mergeCell ref="B119:C119"/>
    <mergeCell ref="K119:L119"/>
    <mergeCell ref="B120:C120"/>
    <mergeCell ref="A121:C121"/>
    <mergeCell ref="A123:J123"/>
    <mergeCell ref="A124:D124"/>
    <mergeCell ref="B115:C115"/>
    <mergeCell ref="B117:C117"/>
    <mergeCell ref="B118:C118"/>
    <mergeCell ref="K118:L118"/>
    <mergeCell ref="B109:C109"/>
    <mergeCell ref="B110:C110"/>
    <mergeCell ref="A111:C111"/>
    <mergeCell ref="A113:J113"/>
    <mergeCell ref="B114:C114"/>
    <mergeCell ref="B102:D102"/>
    <mergeCell ref="B103:D103"/>
    <mergeCell ref="A104:D104"/>
    <mergeCell ref="A106:J106"/>
    <mergeCell ref="B107:C107"/>
    <mergeCell ref="B108:C108"/>
    <mergeCell ref="A89:C89"/>
    <mergeCell ref="A100:J100"/>
    <mergeCell ref="A101:D101"/>
    <mergeCell ref="A98:J98"/>
    <mergeCell ref="B82:C82"/>
    <mergeCell ref="B83:C83"/>
    <mergeCell ref="B84:C84"/>
    <mergeCell ref="B86:C86"/>
    <mergeCell ref="B87:C87"/>
    <mergeCell ref="B88:C88"/>
    <mergeCell ref="B85:C85"/>
    <mergeCell ref="A93:C93"/>
    <mergeCell ref="B92:C92"/>
    <mergeCell ref="A91:C91"/>
    <mergeCell ref="B75:C75"/>
    <mergeCell ref="B76:C76"/>
    <mergeCell ref="B77:C77"/>
    <mergeCell ref="B78:C78"/>
    <mergeCell ref="A79:C79"/>
    <mergeCell ref="A81:J81"/>
    <mergeCell ref="B68:D68"/>
    <mergeCell ref="A69:D69"/>
    <mergeCell ref="A71:J71"/>
    <mergeCell ref="B72:C72"/>
    <mergeCell ref="B73:C73"/>
    <mergeCell ref="B74:C74"/>
    <mergeCell ref="A62:C62"/>
    <mergeCell ref="A64:J64"/>
    <mergeCell ref="A65:D65"/>
    <mergeCell ref="B66:D66"/>
    <mergeCell ref="B67:D67"/>
    <mergeCell ref="A58:C58"/>
    <mergeCell ref="B59:C59"/>
    <mergeCell ref="B60:C60"/>
    <mergeCell ref="B61:C61"/>
    <mergeCell ref="B51:C51"/>
    <mergeCell ref="B52:C52"/>
    <mergeCell ref="B53:C53"/>
    <mergeCell ref="B54:C54"/>
    <mergeCell ref="B55:C55"/>
    <mergeCell ref="A56:C56"/>
    <mergeCell ref="B44:C44"/>
    <mergeCell ref="A45:C45"/>
    <mergeCell ref="A47:C47"/>
    <mergeCell ref="B48:C48"/>
    <mergeCell ref="B49:C49"/>
    <mergeCell ref="B50:C50"/>
    <mergeCell ref="B43:C43"/>
    <mergeCell ref="B31:C31"/>
    <mergeCell ref="B32:C32"/>
    <mergeCell ref="B33:C33"/>
    <mergeCell ref="B34:C34"/>
    <mergeCell ref="B35:C35"/>
    <mergeCell ref="B27:D27"/>
    <mergeCell ref="B28:D28"/>
    <mergeCell ref="B37:C37"/>
    <mergeCell ref="A39:D39"/>
    <mergeCell ref="A41:J41"/>
    <mergeCell ref="A42:C42"/>
    <mergeCell ref="B38:C38"/>
    <mergeCell ref="D16:J16"/>
    <mergeCell ref="A7:J7"/>
    <mergeCell ref="B36:C36"/>
    <mergeCell ref="B19:D19"/>
    <mergeCell ref="B20:D20"/>
    <mergeCell ref="B21:D21"/>
    <mergeCell ref="B22:D22"/>
    <mergeCell ref="B23:D23"/>
    <mergeCell ref="A30:J30"/>
    <mergeCell ref="B24:D24"/>
    <mergeCell ref="B25:D25"/>
    <mergeCell ref="B26:D26"/>
    <mergeCell ref="A14:J14"/>
    <mergeCell ref="A15:B15"/>
    <mergeCell ref="D15:J15"/>
    <mergeCell ref="A16:B16"/>
    <mergeCell ref="A1:J1"/>
    <mergeCell ref="A8:J8"/>
    <mergeCell ref="B9:D9"/>
    <mergeCell ref="B10:D10"/>
    <mergeCell ref="B11:D11"/>
    <mergeCell ref="B12:D12"/>
    <mergeCell ref="D4:J4"/>
    <mergeCell ref="D3:J3"/>
    <mergeCell ref="A4:C4"/>
    <mergeCell ref="A3:C3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3"/>
  </sheetPr>
  <dimension ref="A1:P134"/>
  <sheetViews>
    <sheetView view="pageBreakPreview" topLeftCell="A124" zoomScaleNormal="100" zoomScaleSheetLayoutView="100" workbookViewId="0">
      <selection activeCell="J108" sqref="J108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14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15"/>
      <c r="B2" s="115"/>
      <c r="C2" s="115"/>
      <c r="D2" s="115"/>
      <c r="E2" s="226"/>
      <c r="F2" s="237"/>
      <c r="G2" s="248"/>
      <c r="H2" s="248"/>
      <c r="I2" s="252"/>
      <c r="J2" s="115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16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16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16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16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ht="38.25" x14ac:dyDescent="0.2">
      <c r="A16" s="387" t="s">
        <v>145</v>
      </c>
      <c r="B16" s="387"/>
      <c r="C16" s="117" t="s">
        <v>191</v>
      </c>
      <c r="D16" s="387">
        <v>2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15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2</v>
      </c>
      <c r="F28" s="188">
        <v>2</v>
      </c>
      <c r="G28" s="188">
        <v>2</v>
      </c>
      <c r="H28" s="261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>
        <v>1590.6</v>
      </c>
      <c r="J32" s="276">
        <f>J21</f>
        <v>1764.4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16.45</v>
      </c>
      <c r="F34" s="34">
        <v>17.05</v>
      </c>
      <c r="G34" s="34">
        <v>17.05</v>
      </c>
      <c r="H34" s="263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179.63</v>
      </c>
      <c r="F35" s="34">
        <v>186.19</v>
      </c>
      <c r="G35" s="34">
        <v>186.19</v>
      </c>
      <c r="H35" s="263">
        <v>197.38</v>
      </c>
      <c r="I35" s="34">
        <v>197.38</v>
      </c>
      <c r="J35" s="34">
        <f>ROUND(((J32+J33)/220)*105*0.2,2)</f>
        <v>218.95</v>
      </c>
      <c r="K35" s="169"/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230.96</v>
      </c>
      <c r="F36" s="34">
        <v>239.38</v>
      </c>
      <c r="G36" s="34">
        <v>239.38</v>
      </c>
      <c r="H36" s="263">
        <v>253.77</v>
      </c>
      <c r="I36" s="34">
        <v>253.77</v>
      </c>
      <c r="J36" s="34">
        <f>ROUND(((J32+J33)/220)*(105/52.5*7.5)*1.5*1.2,2)</f>
        <v>281.5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71.19</v>
      </c>
      <c r="F37" s="34">
        <v>73.78</v>
      </c>
      <c r="G37" s="34">
        <v>73.78</v>
      </c>
      <c r="H37" s="263">
        <v>78.22</v>
      </c>
      <c r="I37" s="34">
        <v>78.22</v>
      </c>
      <c r="J37" s="34">
        <f>ROUND((J34+J35+J36)*16.67%,2)</f>
        <v>86.77</v>
      </c>
      <c r="K37" s="170">
        <f>ROUND((J34)*16.67%,2)</f>
        <v>3.34</v>
      </c>
      <c r="M37" s="9"/>
    </row>
    <row r="38" spans="1:14" x14ac:dyDescent="0.2">
      <c r="A38" s="32" t="s">
        <v>6</v>
      </c>
      <c r="B38" s="366" t="s">
        <v>216</v>
      </c>
      <c r="C38" s="367"/>
      <c r="D38" s="33"/>
      <c r="E38" s="34">
        <v>0</v>
      </c>
      <c r="F38" s="34">
        <v>0</v>
      </c>
      <c r="G38" s="34">
        <v>0</v>
      </c>
      <c r="H38" s="263">
        <v>0</v>
      </c>
      <c r="I38" s="34">
        <v>0</v>
      </c>
      <c r="J38" s="34">
        <v>0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2380.11</v>
      </c>
      <c r="F39" s="31">
        <v>2466.92</v>
      </c>
      <c r="G39" s="35">
        <v>2466.92</v>
      </c>
      <c r="H39" s="35">
        <v>2615.23</v>
      </c>
      <c r="I39" s="35">
        <f>ROUND(SUM(I32:I38),2)</f>
        <v>2615.23</v>
      </c>
      <c r="J39" s="35">
        <f>ROUND(SUM(J32:J38),2)</f>
        <v>2900.99</v>
      </c>
      <c r="K39" s="35">
        <f>ROUND(SUM(J32:J38),2)-J34-K37</f>
        <v>2877.5999999999995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196.66</v>
      </c>
      <c r="F43" s="34">
        <v>203.84</v>
      </c>
      <c r="G43" s="34">
        <v>203.84</v>
      </c>
      <c r="H43" s="263">
        <v>216.09</v>
      </c>
      <c r="I43" s="34">
        <v>216.09</v>
      </c>
      <c r="J43" s="34">
        <f>ROUND(D43*$K$39,2)</f>
        <v>239.7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285.67</v>
      </c>
      <c r="F44" s="34">
        <v>296.08999999999997</v>
      </c>
      <c r="G44" s="34">
        <v>296.08999999999997</v>
      </c>
      <c r="H44" s="263">
        <v>313.89</v>
      </c>
      <c r="I44" s="34">
        <v>313.89</v>
      </c>
      <c r="J44" s="34">
        <f>ROUND(D44*$K$39,2)</f>
        <v>348.19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482.33</v>
      </c>
      <c r="F45" s="35">
        <v>499.93</v>
      </c>
      <c r="G45" s="35">
        <v>499.93</v>
      </c>
      <c r="H45" s="35">
        <v>529.98</v>
      </c>
      <c r="I45" s="35">
        <f>ROUND(SUM(I43:I44),2)</f>
        <v>529.98</v>
      </c>
      <c r="J45" s="35">
        <f>ROUND(SUM(J43:J44),2)</f>
        <v>587.89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472.18</v>
      </c>
      <c r="F48" s="34">
        <v>489.41</v>
      </c>
      <c r="G48" s="34">
        <v>489.41</v>
      </c>
      <c r="H48" s="263">
        <v>518.83000000000004</v>
      </c>
      <c r="I48" s="34">
        <v>518.83000000000004</v>
      </c>
      <c r="J48" s="34">
        <f t="shared" ref="J48:J55" si="0">ROUND(D48*($K$39),2)</f>
        <v>575.52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59.02</v>
      </c>
      <c r="F49" s="34">
        <v>61.18</v>
      </c>
      <c r="G49" s="34">
        <v>61.18</v>
      </c>
      <c r="H49" s="263">
        <v>64.849999999999994</v>
      </c>
      <c r="I49" s="34">
        <v>64.849999999999994</v>
      </c>
      <c r="J49" s="34">
        <f t="shared" si="0"/>
        <v>71.94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96.33</v>
      </c>
      <c r="F50" s="34">
        <v>99.84</v>
      </c>
      <c r="G50" s="34">
        <v>99.84</v>
      </c>
      <c r="H50" s="263">
        <v>105.84</v>
      </c>
      <c r="I50" s="34">
        <v>105.84</v>
      </c>
      <c r="J50" s="34">
        <f t="shared" si="0"/>
        <v>117.41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35.409999999999997</v>
      </c>
      <c r="F51" s="34">
        <v>36.71</v>
      </c>
      <c r="G51" s="34">
        <v>36.71</v>
      </c>
      <c r="H51" s="263">
        <v>38.909999999999997</v>
      </c>
      <c r="I51" s="34">
        <v>38.909999999999997</v>
      </c>
      <c r="J51" s="34">
        <f t="shared" si="0"/>
        <v>43.16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23.61</v>
      </c>
      <c r="F52" s="34">
        <v>24.47</v>
      </c>
      <c r="G52" s="34">
        <v>24.47</v>
      </c>
      <c r="H52" s="263">
        <v>25.94</v>
      </c>
      <c r="I52" s="34">
        <v>25.94</v>
      </c>
      <c r="J52" s="34">
        <f t="shared" si="0"/>
        <v>28.78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14.17</v>
      </c>
      <c r="F53" s="34">
        <v>14.68</v>
      </c>
      <c r="G53" s="34">
        <v>14.68</v>
      </c>
      <c r="H53" s="263">
        <v>15.56</v>
      </c>
      <c r="I53" s="34">
        <v>15.56</v>
      </c>
      <c r="J53" s="34">
        <f t="shared" si="0"/>
        <v>17.27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4.72</v>
      </c>
      <c r="F54" s="34">
        <v>4.8899999999999997</v>
      </c>
      <c r="G54" s="34">
        <v>4.8899999999999997</v>
      </c>
      <c r="H54" s="263">
        <v>5.19</v>
      </c>
      <c r="I54" s="34">
        <v>5.19</v>
      </c>
      <c r="J54" s="34">
        <f t="shared" si="0"/>
        <v>5.76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188.87</v>
      </c>
      <c r="F55" s="34">
        <v>195.76</v>
      </c>
      <c r="G55" s="34">
        <v>195.76</v>
      </c>
      <c r="H55" s="263">
        <v>207.53</v>
      </c>
      <c r="I55" s="34">
        <v>207.53</v>
      </c>
      <c r="J55" s="34">
        <f t="shared" si="0"/>
        <v>230.21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894.31</v>
      </c>
      <c r="F56" s="35">
        <v>926.94</v>
      </c>
      <c r="G56" s="35">
        <v>926.94</v>
      </c>
      <c r="H56" s="35">
        <v>982.65</v>
      </c>
      <c r="I56" s="35">
        <f>ROUND(SUM(I48:I55),2)</f>
        <v>982.65</v>
      </c>
      <c r="J56" s="35">
        <f>ROUND(SUM(J48:J55),2)</f>
        <v>1090.05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42.14</v>
      </c>
      <c r="F59" s="34">
        <v>38.979999999999997</v>
      </c>
      <c r="G59" s="34">
        <v>50.98</v>
      </c>
      <c r="H59" s="263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367"/>
      <c r="D60" s="38" t="s">
        <v>76</v>
      </c>
      <c r="E60" s="34">
        <v>230.76</v>
      </c>
      <c r="F60" s="263">
        <v>240</v>
      </c>
      <c r="G60" s="263">
        <v>240</v>
      </c>
      <c r="H60" s="263">
        <v>258</v>
      </c>
      <c r="I60" s="263">
        <v>258</v>
      </c>
      <c r="J60" s="276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16" t="s">
        <v>79</v>
      </c>
      <c r="B66" s="376" t="s">
        <v>80</v>
      </c>
      <c r="C66" s="376"/>
      <c r="D66" s="376"/>
      <c r="E66" s="228">
        <v>482.33</v>
      </c>
      <c r="F66" s="25">
        <v>499.93</v>
      </c>
      <c r="G66" s="25">
        <v>499.93</v>
      </c>
      <c r="H66" s="257">
        <v>529.98</v>
      </c>
      <c r="I66" s="25">
        <v>529.98</v>
      </c>
      <c r="J66" s="25">
        <f>J45</f>
        <v>587.89</v>
      </c>
    </row>
    <row r="67" spans="1:10" x14ac:dyDescent="0.2">
      <c r="A67" s="116" t="s">
        <v>81</v>
      </c>
      <c r="B67" s="376" t="s">
        <v>82</v>
      </c>
      <c r="C67" s="376"/>
      <c r="D67" s="376"/>
      <c r="E67" s="228">
        <v>894.31</v>
      </c>
      <c r="F67" s="25">
        <v>926.94</v>
      </c>
      <c r="G67" s="25">
        <v>926.94</v>
      </c>
      <c r="H67" s="257">
        <v>982.65</v>
      </c>
      <c r="I67" s="25">
        <v>982.65</v>
      </c>
      <c r="J67" s="25">
        <f>J56</f>
        <v>1090.05</v>
      </c>
    </row>
    <row r="68" spans="1:10" x14ac:dyDescent="0.2">
      <c r="A68" s="116" t="s">
        <v>83</v>
      </c>
      <c r="B68" s="376" t="s">
        <v>25</v>
      </c>
      <c r="C68" s="376"/>
      <c r="D68" s="376"/>
      <c r="E68" s="228">
        <v>275.39999999999998</v>
      </c>
      <c r="F68" s="25">
        <v>281.48</v>
      </c>
      <c r="G68" s="25">
        <v>293.48</v>
      </c>
      <c r="H68" s="257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1652.04</v>
      </c>
      <c r="F69" s="128">
        <v>1708.35</v>
      </c>
      <c r="G69" s="35">
        <v>1720.35</v>
      </c>
      <c r="H69" s="35">
        <v>1818.69</v>
      </c>
      <c r="I69" s="35">
        <f>ROUND(SUM(I66:I68),2)</f>
        <v>1821.69</v>
      </c>
      <c r="J69" s="35">
        <f>ROUND(SUM(J66:J68),2)</f>
        <v>2005.74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9.92</v>
      </c>
      <c r="F73" s="34">
        <v>10.28</v>
      </c>
      <c r="G73" s="34">
        <v>10.28</v>
      </c>
      <c r="H73" s="263">
        <v>10.9</v>
      </c>
      <c r="I73" s="34">
        <v>10.9</v>
      </c>
      <c r="J73" s="34">
        <f t="shared" ref="J73:J78" si="1">ROUND(D73*$K$39,2)</f>
        <v>12.09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0.71</v>
      </c>
      <c r="F74" s="34">
        <v>0.73</v>
      </c>
      <c r="G74" s="34">
        <v>0.73</v>
      </c>
      <c r="H74" s="263">
        <v>0.78</v>
      </c>
      <c r="I74" s="34">
        <v>0.78</v>
      </c>
      <c r="J74" s="34">
        <f t="shared" si="1"/>
        <v>0.86</v>
      </c>
    </row>
    <row r="75" spans="1:10" ht="25.5" customHeight="1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5.67</v>
      </c>
      <c r="F75" s="34">
        <v>5.87</v>
      </c>
      <c r="G75" s="34">
        <v>4.7</v>
      </c>
      <c r="H75" s="263">
        <v>4.9800000000000004</v>
      </c>
      <c r="I75" s="34">
        <v>4.9800000000000004</v>
      </c>
      <c r="J75" s="34">
        <f t="shared" si="1"/>
        <v>5.52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3.78</v>
      </c>
      <c r="F76" s="34">
        <v>3.92</v>
      </c>
      <c r="G76" s="34">
        <v>3.92</v>
      </c>
      <c r="H76" s="263">
        <v>4.1500000000000004</v>
      </c>
      <c r="I76" s="34">
        <v>4.1500000000000004</v>
      </c>
      <c r="J76" s="34">
        <f t="shared" si="1"/>
        <v>4.5999999999999996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1.42</v>
      </c>
      <c r="F77" s="34">
        <v>1.47</v>
      </c>
      <c r="G77" s="34">
        <v>1.47</v>
      </c>
      <c r="H77" s="263">
        <v>1.56</v>
      </c>
      <c r="I77" s="34">
        <v>1.56</v>
      </c>
      <c r="J77" s="34">
        <f t="shared" si="1"/>
        <v>1.73</v>
      </c>
    </row>
    <row r="78" spans="1:10" ht="25.5" customHeight="1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112.38</v>
      </c>
      <c r="F78" s="34">
        <v>116.48</v>
      </c>
      <c r="G78" s="34">
        <v>93.18</v>
      </c>
      <c r="H78" s="263">
        <v>98.78</v>
      </c>
      <c r="I78" s="34">
        <v>98.78</v>
      </c>
      <c r="J78" s="34">
        <f t="shared" si="1"/>
        <v>109.58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133.88</v>
      </c>
      <c r="F79" s="35">
        <v>138.75</v>
      </c>
      <c r="G79" s="35">
        <v>114.28</v>
      </c>
      <c r="H79" s="35">
        <v>121.15</v>
      </c>
      <c r="I79" s="35">
        <f>ROUND(SUM(I73:I78),2)</f>
        <v>121.15</v>
      </c>
      <c r="J79" s="35">
        <f>ROUND(SUM(J73:J78),2)</f>
        <v>134.38</v>
      </c>
    </row>
    <row r="81" spans="1:13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3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3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23.85</v>
      </c>
      <c r="F83" s="34">
        <v>24.72</v>
      </c>
      <c r="G83" s="34">
        <v>24.72</v>
      </c>
      <c r="H83" s="263">
        <v>26.2</v>
      </c>
      <c r="I83" s="34">
        <v>26.2</v>
      </c>
      <c r="J83" s="34">
        <f t="shared" ref="J83:J88" si="2">ROUND(D83*$K$39,2)</f>
        <v>29.06</v>
      </c>
    </row>
    <row r="84" spans="1:13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13.22</v>
      </c>
      <c r="F84" s="34">
        <v>13.7</v>
      </c>
      <c r="G84" s="34">
        <v>13.7</v>
      </c>
      <c r="H84" s="263">
        <v>14.53</v>
      </c>
      <c r="I84" s="34">
        <v>14.53</v>
      </c>
      <c r="J84" s="34">
        <f t="shared" si="2"/>
        <v>16.11</v>
      </c>
    </row>
    <row r="85" spans="1:13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32.82</v>
      </c>
      <c r="F85" s="34">
        <v>34.01</v>
      </c>
      <c r="G85" s="34">
        <v>34.01</v>
      </c>
      <c r="H85" s="263">
        <v>36.06</v>
      </c>
      <c r="I85" s="34">
        <v>36.06</v>
      </c>
      <c r="J85" s="34">
        <f t="shared" si="2"/>
        <v>40</v>
      </c>
    </row>
    <row r="86" spans="1:13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4.01</v>
      </c>
      <c r="F86" s="34">
        <v>4.16</v>
      </c>
      <c r="G86" s="34">
        <v>4.16</v>
      </c>
      <c r="H86" s="263">
        <v>4.41</v>
      </c>
      <c r="I86" s="34">
        <v>4.41</v>
      </c>
      <c r="J86" s="34">
        <f t="shared" si="2"/>
        <v>4.8899999999999997</v>
      </c>
    </row>
    <row r="87" spans="1:13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4.96</v>
      </c>
      <c r="F87" s="34">
        <v>5.14</v>
      </c>
      <c r="G87" s="34">
        <v>5.14</v>
      </c>
      <c r="H87" s="263">
        <v>5.45</v>
      </c>
      <c r="I87" s="34">
        <v>5.45</v>
      </c>
      <c r="J87" s="34">
        <f t="shared" si="2"/>
        <v>6.04</v>
      </c>
    </row>
    <row r="88" spans="1:13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1.65</v>
      </c>
      <c r="F88" s="34">
        <v>1.71</v>
      </c>
      <c r="G88" s="34">
        <v>1.71</v>
      </c>
      <c r="H88" s="263">
        <v>1.82</v>
      </c>
      <c r="I88" s="34">
        <v>1.82</v>
      </c>
      <c r="J88" s="34">
        <f t="shared" si="2"/>
        <v>2.0099999999999998</v>
      </c>
    </row>
    <row r="89" spans="1:13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80.510000000000005</v>
      </c>
      <c r="F89" s="35">
        <v>83.44</v>
      </c>
      <c r="G89" s="35">
        <v>83.44</v>
      </c>
      <c r="H89" s="35">
        <v>88.47</v>
      </c>
      <c r="I89" s="35">
        <f>ROUND(SUM(I83:I88),2)</f>
        <v>88.47</v>
      </c>
      <c r="J89" s="35">
        <f>ROUND(SUM(J83:J88),2)</f>
        <v>98.11</v>
      </c>
    </row>
    <row r="90" spans="1:13" x14ac:dyDescent="0.2">
      <c r="E90" s="10"/>
      <c r="F90" s="10"/>
      <c r="M90" s="121"/>
    </row>
    <row r="91" spans="1:13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  <c r="M91" s="121"/>
    </row>
    <row r="92" spans="1:13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213.21</v>
      </c>
      <c r="F92" s="34">
        <v>220.98</v>
      </c>
      <c r="G92" s="34">
        <v>220.98</v>
      </c>
      <c r="H92" s="263">
        <v>234.27</v>
      </c>
      <c r="I92" s="34">
        <v>234.27</v>
      </c>
      <c r="J92" s="34">
        <f>ROUND(D92*$K$39,2)</f>
        <v>259.86</v>
      </c>
      <c r="M92" s="121"/>
    </row>
    <row r="93" spans="1:13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213.21</v>
      </c>
      <c r="F93" s="128">
        <v>220.98</v>
      </c>
      <c r="G93" s="128">
        <v>220.98</v>
      </c>
      <c r="H93" s="128">
        <v>234.27</v>
      </c>
      <c r="I93" s="128">
        <f>ROUND(SUM(I92:I92),2)</f>
        <v>234.27</v>
      </c>
      <c r="J93" s="128">
        <f>ROUND(SUM(J92:J92),2)</f>
        <v>259.86</v>
      </c>
      <c r="M93" s="121"/>
    </row>
    <row r="94" spans="1:13" x14ac:dyDescent="0.2">
      <c r="E94" s="10"/>
      <c r="F94" s="10"/>
    </row>
    <row r="95" spans="1:13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3" x14ac:dyDescent="0.2">
      <c r="A96" s="32" t="s">
        <v>0</v>
      </c>
      <c r="B96" s="366" t="s">
        <v>251</v>
      </c>
      <c r="C96" s="382"/>
      <c r="D96" s="367"/>
      <c r="E96" s="34">
        <v>74.03</v>
      </c>
      <c r="F96" s="34">
        <v>76.73</v>
      </c>
      <c r="G96" s="34">
        <v>76.73</v>
      </c>
      <c r="H96" s="263">
        <v>81.34</v>
      </c>
      <c r="I96" s="34">
        <f>ROUND((I21/220)*M16*1.5*0.25,2)</f>
        <v>40.67</v>
      </c>
      <c r="J96" s="34">
        <f>ROUND((J21/220)*M16*1.5*0.5,2)</f>
        <v>90.23</v>
      </c>
    </row>
    <row r="97" spans="1:11" ht="12.75" customHeight="1" x14ac:dyDescent="0.2">
      <c r="A97" s="370" t="s">
        <v>156</v>
      </c>
      <c r="B97" s="371"/>
      <c r="C97" s="371"/>
      <c r="D97" s="372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1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1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1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x14ac:dyDescent="0.2">
      <c r="A102" s="48" t="s">
        <v>26</v>
      </c>
      <c r="B102" s="376" t="s">
        <v>95</v>
      </c>
      <c r="C102" s="376"/>
      <c r="D102" s="376"/>
      <c r="E102" s="25">
        <v>293.72000000000003</v>
      </c>
      <c r="F102" s="25">
        <v>304.42</v>
      </c>
      <c r="G102" s="25">
        <v>304.42</v>
      </c>
      <c r="H102" s="257">
        <v>322.74</v>
      </c>
      <c r="I102" s="25">
        <v>322.74</v>
      </c>
      <c r="J102" s="25">
        <f>ROUND(J89+J93,2)</f>
        <v>357.97</v>
      </c>
    </row>
    <row r="103" spans="1:11" x14ac:dyDescent="0.2">
      <c r="A103" s="48" t="s">
        <v>27</v>
      </c>
      <c r="B103" s="376" t="s">
        <v>101</v>
      </c>
      <c r="C103" s="376"/>
      <c r="D103" s="376"/>
      <c r="E103" s="25">
        <v>74.03</v>
      </c>
      <c r="F103" s="25">
        <v>76.73</v>
      </c>
      <c r="G103" s="25">
        <v>76.73</v>
      </c>
      <c r="H103" s="257">
        <v>81.34</v>
      </c>
      <c r="I103" s="25">
        <f>I97</f>
        <v>40.67</v>
      </c>
      <c r="J103" s="25">
        <f>J97</f>
        <v>90.23</v>
      </c>
    </row>
    <row r="104" spans="1:11" ht="12.75" customHeight="1" x14ac:dyDescent="0.2">
      <c r="A104" s="369" t="s">
        <v>102</v>
      </c>
      <c r="B104" s="369"/>
      <c r="C104" s="369"/>
      <c r="D104" s="369"/>
      <c r="E104" s="35">
        <v>367.75</v>
      </c>
      <c r="F104" s="35">
        <v>381.15</v>
      </c>
      <c r="G104" s="35">
        <v>381.15</v>
      </c>
      <c r="H104" s="35">
        <v>404.08</v>
      </c>
      <c r="I104" s="35">
        <f>ROUND(SUM(I102:I103),2)</f>
        <v>363.41</v>
      </c>
      <c r="J104" s="35">
        <f>ROUND(SUM(J102:J103),2)</f>
        <v>448.2</v>
      </c>
    </row>
    <row r="106" spans="1:1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</row>
    <row r="107" spans="1:1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</row>
    <row r="109" spans="1:11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>
        <v>17.690000000000001</v>
      </c>
      <c r="J109" s="279">
        <f>'Uniformes e Equiptos'!H41</f>
        <v>19.46</v>
      </c>
      <c r="K109" s="49"/>
    </row>
    <row r="110" spans="1:1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</row>
    <row r="111" spans="1:11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</row>
    <row r="113" spans="1:12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</row>
    <row r="114" spans="1:12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137.05000000000001</v>
      </c>
      <c r="F115" s="34">
        <v>141.9</v>
      </c>
      <c r="G115" s="34">
        <v>141.52000000000001</v>
      </c>
      <c r="H115" s="263">
        <v>149.82</v>
      </c>
      <c r="I115" s="34">
        <v>149.91</v>
      </c>
      <c r="J115" s="34">
        <f>ROUND(J130*D115,2)</f>
        <v>165.82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48</v>
      </c>
      <c r="F116" s="34">
        <v>49.69</v>
      </c>
      <c r="G116" s="34">
        <v>49.56</v>
      </c>
      <c r="H116" s="263">
        <v>52.47</v>
      </c>
      <c r="I116" s="34">
        <v>52.5</v>
      </c>
      <c r="J116" s="34">
        <f>ROUND((J130+J115)*D116,2)</f>
        <v>58.07</v>
      </c>
      <c r="K116" s="133"/>
      <c r="L116" s="139"/>
    </row>
    <row r="117" spans="1:12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</row>
    <row r="118" spans="1:12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32.92</v>
      </c>
      <c r="F118" s="34">
        <v>34.090000000000003</v>
      </c>
      <c r="G118" s="34">
        <v>34</v>
      </c>
      <c r="H118" s="263">
        <v>35.99</v>
      </c>
      <c r="I118" s="34">
        <v>36.01</v>
      </c>
      <c r="J118" s="34">
        <f>ROUND((($J$130+$J$115+$J$116)/(1-($D$118+$D$119+$D$120)))*D118,2)</f>
        <v>39.83</v>
      </c>
      <c r="K118" s="364"/>
      <c r="L118" s="365"/>
    </row>
    <row r="119" spans="1:12" x14ac:dyDescent="0.2">
      <c r="A119" s="32" t="s">
        <v>108</v>
      </c>
      <c r="B119" s="366" t="s">
        <v>14</v>
      </c>
      <c r="C119" s="367"/>
      <c r="D119" s="51">
        <v>0.03</v>
      </c>
      <c r="E119" s="34">
        <v>151.94999999999999</v>
      </c>
      <c r="F119" s="34">
        <v>157.32</v>
      </c>
      <c r="G119" s="34">
        <v>156.9</v>
      </c>
      <c r="H119" s="263">
        <v>166.1</v>
      </c>
      <c r="I119" s="34">
        <v>166.2</v>
      </c>
      <c r="J119" s="34">
        <f>ROUND((($J$130+$J$115+$J$116)/(1-($D$118+$D$119+$D$120)))*D119,2)</f>
        <v>183.85</v>
      </c>
      <c r="K119" s="364"/>
      <c r="L119" s="365"/>
    </row>
    <row r="120" spans="1:12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126.63</v>
      </c>
      <c r="F120" s="34">
        <v>131.1</v>
      </c>
      <c r="G120" s="34">
        <v>130.75</v>
      </c>
      <c r="H120" s="263">
        <v>138.41999999999999</v>
      </c>
      <c r="I120" s="34">
        <v>138.5</v>
      </c>
      <c r="J120" s="34">
        <f>ROUND((($J$130+$J$115+$J$116)/(1-($D$118+$D$119+$D$120)))*D120,2)</f>
        <v>153.21</v>
      </c>
    </row>
    <row r="121" spans="1:12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496.55</v>
      </c>
      <c r="F121" s="31">
        <v>514.1</v>
      </c>
      <c r="G121" s="31">
        <v>512.73</v>
      </c>
      <c r="H121" s="31">
        <v>542.79999999999995</v>
      </c>
      <c r="I121" s="31">
        <f>SUM(I115:I120)</f>
        <v>543.12</v>
      </c>
      <c r="J121" s="31">
        <f>SUM(J115:J120)</f>
        <v>600.78</v>
      </c>
    </row>
    <row r="123" spans="1:12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2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117" t="s">
        <v>0</v>
      </c>
      <c r="B125" s="376" t="s">
        <v>65</v>
      </c>
      <c r="C125" s="376"/>
      <c r="D125" s="376"/>
      <c r="E125" s="25">
        <v>2380.11</v>
      </c>
      <c r="F125" s="25">
        <v>2466.92</v>
      </c>
      <c r="G125" s="25">
        <v>2466.92</v>
      </c>
      <c r="H125" s="257">
        <v>2615.23</v>
      </c>
      <c r="I125" s="25">
        <v>2615.23</v>
      </c>
      <c r="J125" s="25">
        <f>J39</f>
        <v>2900.99</v>
      </c>
    </row>
    <row r="126" spans="1:12" x14ac:dyDescent="0.2">
      <c r="A126" s="117" t="s">
        <v>1</v>
      </c>
      <c r="B126" s="376" t="s">
        <v>68</v>
      </c>
      <c r="C126" s="376"/>
      <c r="D126" s="376"/>
      <c r="E126" s="25">
        <v>1652.04</v>
      </c>
      <c r="F126" s="25">
        <v>1708.35</v>
      </c>
      <c r="G126" s="25">
        <v>1720.35</v>
      </c>
      <c r="H126" s="257">
        <v>1818.69</v>
      </c>
      <c r="I126" s="25">
        <v>1821.69</v>
      </c>
      <c r="J126" s="25">
        <f>J69</f>
        <v>2005.74</v>
      </c>
    </row>
    <row r="127" spans="1:12" x14ac:dyDescent="0.2">
      <c r="A127" s="117" t="s">
        <v>2</v>
      </c>
      <c r="B127" s="376" t="s">
        <v>84</v>
      </c>
      <c r="C127" s="376"/>
      <c r="D127" s="376"/>
      <c r="E127" s="25">
        <v>133.88</v>
      </c>
      <c r="F127" s="25">
        <v>138.75</v>
      </c>
      <c r="G127" s="25">
        <v>114.28</v>
      </c>
      <c r="H127" s="257">
        <v>121.15</v>
      </c>
      <c r="I127" s="25">
        <v>121.15</v>
      </c>
      <c r="J127" s="25">
        <f>J79</f>
        <v>134.38</v>
      </c>
    </row>
    <row r="128" spans="1:12" x14ac:dyDescent="0.2">
      <c r="A128" s="56" t="s">
        <v>3</v>
      </c>
      <c r="B128" s="376" t="s">
        <v>92</v>
      </c>
      <c r="C128" s="376"/>
      <c r="D128" s="376"/>
      <c r="E128" s="25">
        <v>367.75</v>
      </c>
      <c r="F128" s="25">
        <v>381.15</v>
      </c>
      <c r="G128" s="25">
        <v>381.15</v>
      </c>
      <c r="H128" s="257">
        <v>404.08</v>
      </c>
      <c r="I128" s="25">
        <v>404.08</v>
      </c>
      <c r="J128" s="25">
        <f>J104</f>
        <v>448.2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>
        <v>34.69</v>
      </c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4568.4699999999993</v>
      </c>
      <c r="F130" s="60">
        <v>4729.8599999999997</v>
      </c>
      <c r="G130" s="60">
        <v>4717.3899999999994</v>
      </c>
      <c r="H130" s="60">
        <v>4993.8399999999992</v>
      </c>
      <c r="I130" s="60">
        <v>4996.8399999999992</v>
      </c>
      <c r="J130" s="60">
        <f>SUM(J125:J129)</f>
        <v>5527.49</v>
      </c>
    </row>
    <row r="131" spans="1:12" x14ac:dyDescent="0.2">
      <c r="A131" s="117" t="s">
        <v>5</v>
      </c>
      <c r="B131" s="376" t="s">
        <v>105</v>
      </c>
      <c r="C131" s="376"/>
      <c r="D131" s="376"/>
      <c r="E131" s="25">
        <v>496.55</v>
      </c>
      <c r="F131" s="25">
        <v>514.1</v>
      </c>
      <c r="G131" s="25">
        <v>512.73</v>
      </c>
      <c r="H131" s="257">
        <v>542.79999999999995</v>
      </c>
      <c r="I131" s="25">
        <v>543.12</v>
      </c>
      <c r="J131" s="25">
        <f>J121</f>
        <v>600.78</v>
      </c>
    </row>
    <row r="132" spans="1:12" x14ac:dyDescent="0.2">
      <c r="A132" s="369" t="s">
        <v>113</v>
      </c>
      <c r="B132" s="369"/>
      <c r="C132" s="369"/>
      <c r="D132" s="369"/>
      <c r="E132" s="119">
        <v>5065.0200000000004</v>
      </c>
      <c r="F132" s="119">
        <v>5243.96</v>
      </c>
      <c r="G132" s="119">
        <v>5230.12</v>
      </c>
      <c r="H132" s="119">
        <v>5536.64</v>
      </c>
      <c r="I132" s="119">
        <v>5539.96</v>
      </c>
      <c r="J132" s="119">
        <f>ROUND(SUM(J130:J131),2)</f>
        <v>6128.27</v>
      </c>
    </row>
    <row r="133" spans="1:12" x14ac:dyDescent="0.2">
      <c r="A133" s="380" t="s">
        <v>140</v>
      </c>
      <c r="B133" s="380"/>
      <c r="C133" s="380"/>
      <c r="D133" s="380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368" t="s">
        <v>141</v>
      </c>
      <c r="B134" s="368"/>
      <c r="C134" s="368"/>
      <c r="D134" s="368"/>
      <c r="E134" s="233">
        <v>10130.040000000001</v>
      </c>
      <c r="F134" s="233">
        <v>10487.92</v>
      </c>
      <c r="G134" s="111">
        <v>10460.24</v>
      </c>
      <c r="H134" s="111">
        <v>11073.28</v>
      </c>
      <c r="I134" s="111">
        <f>ROUND(I132*I133,2)</f>
        <v>11079.92</v>
      </c>
      <c r="J134" s="111">
        <f>ROUND(J132*J133,2)</f>
        <v>12256.54</v>
      </c>
    </row>
  </sheetData>
  <mergeCells count="123">
    <mergeCell ref="A133:D133"/>
    <mergeCell ref="A134:D134"/>
    <mergeCell ref="B127:D127"/>
    <mergeCell ref="B128:D128"/>
    <mergeCell ref="B129:D129"/>
    <mergeCell ref="B130:D130"/>
    <mergeCell ref="B131:D131"/>
    <mergeCell ref="A132:D132"/>
    <mergeCell ref="B120:C120"/>
    <mergeCell ref="A121:C121"/>
    <mergeCell ref="A123:J123"/>
    <mergeCell ref="A124:D124"/>
    <mergeCell ref="B125:D125"/>
    <mergeCell ref="B126:D126"/>
    <mergeCell ref="B117:C117"/>
    <mergeCell ref="B118:C118"/>
    <mergeCell ref="K118:L118"/>
    <mergeCell ref="B119:C119"/>
    <mergeCell ref="K119:L119"/>
    <mergeCell ref="B110:C110"/>
    <mergeCell ref="A111:C111"/>
    <mergeCell ref="A113:J113"/>
    <mergeCell ref="B114:C114"/>
    <mergeCell ref="B115:C115"/>
    <mergeCell ref="B103:D103"/>
    <mergeCell ref="A104:D104"/>
    <mergeCell ref="A106:J106"/>
    <mergeCell ref="B107:C107"/>
    <mergeCell ref="B108:C108"/>
    <mergeCell ref="B109:C109"/>
    <mergeCell ref="A97:D97"/>
    <mergeCell ref="A98:J98"/>
    <mergeCell ref="A100:J100"/>
    <mergeCell ref="A101:D101"/>
    <mergeCell ref="B102:D102"/>
    <mergeCell ref="B86:C86"/>
    <mergeCell ref="B87:C87"/>
    <mergeCell ref="B88:C88"/>
    <mergeCell ref="A89:C89"/>
    <mergeCell ref="A95:D95"/>
    <mergeCell ref="B96:D96"/>
    <mergeCell ref="A93:C93"/>
    <mergeCell ref="B92:C92"/>
    <mergeCell ref="A91:C91"/>
    <mergeCell ref="A79:C79"/>
    <mergeCell ref="A81:J81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78:C78"/>
    <mergeCell ref="B66:D66"/>
    <mergeCell ref="B67:D67"/>
    <mergeCell ref="B68:D68"/>
    <mergeCell ref="A69:D69"/>
    <mergeCell ref="A71:J71"/>
    <mergeCell ref="B72:C72"/>
    <mergeCell ref="B60:C60"/>
    <mergeCell ref="B61:C61"/>
    <mergeCell ref="A62:C62"/>
    <mergeCell ref="A64:J64"/>
    <mergeCell ref="A65:D65"/>
    <mergeCell ref="B53:C53"/>
    <mergeCell ref="B54:C54"/>
    <mergeCell ref="B55:C55"/>
    <mergeCell ref="A56:C56"/>
    <mergeCell ref="A58:C58"/>
    <mergeCell ref="A45:C45"/>
    <mergeCell ref="B59:C59"/>
    <mergeCell ref="A47:C47"/>
    <mergeCell ref="B48:C48"/>
    <mergeCell ref="B49:C49"/>
    <mergeCell ref="B50:C50"/>
    <mergeCell ref="B51:C51"/>
    <mergeCell ref="B52:C52"/>
    <mergeCell ref="A41:J41"/>
    <mergeCell ref="A42:C42"/>
    <mergeCell ref="B43:C43"/>
    <mergeCell ref="B38:C38"/>
    <mergeCell ref="B44:C44"/>
    <mergeCell ref="B32:C32"/>
    <mergeCell ref="B33:C33"/>
    <mergeCell ref="B34:C34"/>
    <mergeCell ref="B35:C35"/>
    <mergeCell ref="B36:C36"/>
    <mergeCell ref="B37:C37"/>
    <mergeCell ref="A30:J30"/>
    <mergeCell ref="B31:C31"/>
    <mergeCell ref="A15:B15"/>
    <mergeCell ref="D15:J15"/>
    <mergeCell ref="A16:B16"/>
    <mergeCell ref="D16:J16"/>
    <mergeCell ref="B19:D19"/>
    <mergeCell ref="A39:D39"/>
    <mergeCell ref="B12:D12"/>
    <mergeCell ref="A14:J14"/>
    <mergeCell ref="B27:D27"/>
    <mergeCell ref="B28:D28"/>
    <mergeCell ref="B25:D25"/>
    <mergeCell ref="B26:D26"/>
    <mergeCell ref="A1:J1"/>
    <mergeCell ref="L3:M3"/>
    <mergeCell ref="A3:C3"/>
    <mergeCell ref="D3:J3"/>
    <mergeCell ref="A4:C4"/>
    <mergeCell ref="D4:J4"/>
    <mergeCell ref="A5:J5"/>
    <mergeCell ref="A6:J6"/>
    <mergeCell ref="B24:D24"/>
    <mergeCell ref="A8:J8"/>
    <mergeCell ref="B9:D9"/>
    <mergeCell ref="B10:D10"/>
    <mergeCell ref="A7:J7"/>
    <mergeCell ref="B11:D11"/>
    <mergeCell ref="B20:D20"/>
    <mergeCell ref="B21:D21"/>
    <mergeCell ref="B22:D22"/>
    <mergeCell ref="B23:D23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tabColor theme="7"/>
  </sheetPr>
  <dimension ref="A1:P134"/>
  <sheetViews>
    <sheetView view="pageBreakPreview" topLeftCell="A124" zoomScaleNormal="100" zoomScaleSheetLayoutView="100" workbookViewId="0">
      <selection activeCell="J132" sqref="J13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215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217"/>
      <c r="B2" s="217"/>
      <c r="C2" s="217"/>
      <c r="D2" s="217"/>
      <c r="E2" s="226"/>
      <c r="F2" s="237"/>
      <c r="G2" s="248"/>
      <c r="H2" s="248"/>
      <c r="I2" s="252"/>
      <c r="J2" s="217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214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214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214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214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ht="25.5" x14ac:dyDescent="0.2">
      <c r="A16" s="387" t="s">
        <v>145</v>
      </c>
      <c r="B16" s="387"/>
      <c r="C16" s="216" t="s">
        <v>310</v>
      </c>
      <c r="D16" s="387">
        <v>2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12.5</v>
      </c>
    </row>
    <row r="17" spans="1:13" ht="13.5" thickBot="1" x14ac:dyDescent="0.25">
      <c r="L17" s="7" t="s">
        <v>35</v>
      </c>
      <c r="M17" s="67">
        <f>ROUND((M13*M14*M16)-(M15*J32),2)</f>
        <v>14.14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12.5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299.125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59.825000000000003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239.3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2</v>
      </c>
      <c r="F28" s="188">
        <v>2</v>
      </c>
      <c r="G28" s="188">
        <v>2</v>
      </c>
      <c r="H28" s="261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>
        <v>1590.6</v>
      </c>
      <c r="J32" s="276">
        <f>J21</f>
        <v>1764.4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13.71</v>
      </c>
      <c r="F34" s="34">
        <v>14.21</v>
      </c>
      <c r="G34" s="34">
        <v>14.21</v>
      </c>
      <c r="H34" s="263">
        <v>15.06</v>
      </c>
      <c r="I34" s="34">
        <v>15.06</v>
      </c>
      <c r="J34" s="34">
        <f>ROUND((J32/220)/6*M16,2)</f>
        <v>16.71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0</v>
      </c>
      <c r="F35" s="34">
        <v>0</v>
      </c>
      <c r="G35" s="34">
        <v>0</v>
      </c>
      <c r="H35" s="263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0</v>
      </c>
      <c r="F36" s="34">
        <v>0</v>
      </c>
      <c r="G36" s="34">
        <v>0</v>
      </c>
      <c r="H36" s="263">
        <v>0</v>
      </c>
      <c r="I36" s="34">
        <v>0</v>
      </c>
      <c r="J36" s="34">
        <v>0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2.29</v>
      </c>
      <c r="F37" s="34">
        <v>2.37</v>
      </c>
      <c r="G37" s="34">
        <v>2.37</v>
      </c>
      <c r="H37" s="263">
        <v>2.5099999999999998</v>
      </c>
      <c r="I37" s="34">
        <v>2.5099999999999998</v>
      </c>
      <c r="J37" s="34">
        <f>ROUND((J34+J35+J36)*16.67%,2)</f>
        <v>2.79</v>
      </c>
      <c r="K37" s="170">
        <f>ROUND((J34)*16.67%,2)</f>
        <v>2.79</v>
      </c>
      <c r="M37" s="9"/>
    </row>
    <row r="38" spans="1:14" x14ac:dyDescent="0.2">
      <c r="A38" s="32" t="s">
        <v>6</v>
      </c>
      <c r="B38" s="366" t="s">
        <v>216</v>
      </c>
      <c r="C38" s="367"/>
      <c r="D38" s="33"/>
      <c r="E38" s="34">
        <v>0</v>
      </c>
      <c r="F38" s="34">
        <v>0</v>
      </c>
      <c r="G38" s="34">
        <v>0</v>
      </c>
      <c r="H38" s="263">
        <v>0</v>
      </c>
      <c r="I38" s="34">
        <v>0</v>
      </c>
      <c r="J38" s="34">
        <v>0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1897.88</v>
      </c>
      <c r="F39" s="31">
        <v>1967.1</v>
      </c>
      <c r="G39" s="35">
        <v>1967.1</v>
      </c>
      <c r="H39" s="35">
        <v>2085.35</v>
      </c>
      <c r="I39" s="35">
        <f>ROUND(SUM(I32:I38),2)</f>
        <v>2085.35</v>
      </c>
      <c r="J39" s="35">
        <f>ROUND(SUM(J32:J38),2)</f>
        <v>2313.2199999999998</v>
      </c>
      <c r="K39" s="35">
        <f>ROUND(SUM(J32:J38),2)-J34-K37</f>
        <v>2293.7199999999998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263">
        <v>172.25</v>
      </c>
      <c r="I43" s="34">
        <v>172.25</v>
      </c>
      <c r="J43" s="34">
        <f>ROUND(D43*$K$39,2)</f>
        <v>191.07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263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263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263">
        <v>51.69</v>
      </c>
      <c r="I49" s="34">
        <v>51.69</v>
      </c>
      <c r="J49" s="34">
        <f t="shared" si="0"/>
        <v>57.34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263">
        <v>84.37</v>
      </c>
      <c r="I50" s="34">
        <v>84.37</v>
      </c>
      <c r="J50" s="34">
        <f t="shared" si="0"/>
        <v>93.58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263">
        <v>31.02</v>
      </c>
      <c r="I51" s="34">
        <v>31.02</v>
      </c>
      <c r="J51" s="34">
        <f t="shared" si="0"/>
        <v>34.409999999999997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263">
        <v>20.68</v>
      </c>
      <c r="I52" s="34">
        <v>20.68</v>
      </c>
      <c r="J52" s="34">
        <f t="shared" si="0"/>
        <v>22.94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263">
        <v>12.41</v>
      </c>
      <c r="I53" s="34">
        <v>12.41</v>
      </c>
      <c r="J53" s="34">
        <f t="shared" si="0"/>
        <v>13.76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263">
        <v>4.1399999999999997</v>
      </c>
      <c r="I54" s="34">
        <v>4.1399999999999997</v>
      </c>
      <c r="J54" s="34">
        <f t="shared" si="0"/>
        <v>4.59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263">
        <v>165.42</v>
      </c>
      <c r="I55" s="34">
        <v>165.42</v>
      </c>
      <c r="J55" s="34">
        <f t="shared" si="0"/>
        <v>183.5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12,5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20.64</v>
      </c>
      <c r="F59" s="34">
        <v>17.48</v>
      </c>
      <c r="G59" s="34">
        <v>27.48</v>
      </c>
      <c r="H59" s="263">
        <v>22.06</v>
      </c>
      <c r="I59" s="34">
        <v>24.56</v>
      </c>
      <c r="J59" s="34">
        <f>IF(M17&lt;=0,0,IF(M17&gt;0,M17))</f>
        <v>14.14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12,5 Dias Trabalhados) - (20% do desconto legal) ]</v>
      </c>
      <c r="C60" s="367"/>
      <c r="D60" s="38" t="s">
        <v>76</v>
      </c>
      <c r="E60" s="34">
        <v>192.3</v>
      </c>
      <c r="F60" s="263">
        <v>200</v>
      </c>
      <c r="G60" s="263">
        <v>200</v>
      </c>
      <c r="H60" s="263">
        <v>215</v>
      </c>
      <c r="I60" s="263">
        <v>215</v>
      </c>
      <c r="J60" s="276">
        <f>M23</f>
        <v>239.3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215.44</v>
      </c>
      <c r="F62" s="35">
        <v>219.98</v>
      </c>
      <c r="G62" s="35">
        <v>229.98</v>
      </c>
      <c r="H62" s="35">
        <v>239.56</v>
      </c>
      <c r="I62" s="35">
        <f>ROUND(SUM(I59:I61),2)</f>
        <v>242.06</v>
      </c>
      <c r="J62" s="35">
        <f>ROUND(SUM(J59:J61),2)</f>
        <v>255.94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214" t="s">
        <v>79</v>
      </c>
      <c r="B66" s="376" t="s">
        <v>80</v>
      </c>
      <c r="C66" s="376"/>
      <c r="D66" s="376"/>
      <c r="E66" s="228">
        <v>384.47</v>
      </c>
      <c r="F66" s="25">
        <v>398.49</v>
      </c>
      <c r="G66" s="25">
        <v>398.49</v>
      </c>
      <c r="H66" s="257">
        <v>422.45</v>
      </c>
      <c r="I66" s="25">
        <v>422.45</v>
      </c>
      <c r="J66" s="25">
        <f>J45</f>
        <v>468.61</v>
      </c>
    </row>
    <row r="67" spans="1:10" x14ac:dyDescent="0.2">
      <c r="A67" s="214" t="s">
        <v>81</v>
      </c>
      <c r="B67" s="376" t="s">
        <v>82</v>
      </c>
      <c r="C67" s="376"/>
      <c r="D67" s="376"/>
      <c r="E67" s="228">
        <v>712.86</v>
      </c>
      <c r="F67" s="25">
        <v>738.85</v>
      </c>
      <c r="G67" s="25">
        <v>738.85</v>
      </c>
      <c r="H67" s="257">
        <v>783.29</v>
      </c>
      <c r="I67" s="25">
        <v>783.29</v>
      </c>
      <c r="J67" s="25">
        <f>J56</f>
        <v>868.86</v>
      </c>
    </row>
    <row r="68" spans="1:10" x14ac:dyDescent="0.2">
      <c r="A68" s="214" t="s">
        <v>83</v>
      </c>
      <c r="B68" s="376" t="s">
        <v>25</v>
      </c>
      <c r="C68" s="376"/>
      <c r="D68" s="376"/>
      <c r="E68" s="228">
        <v>215.44</v>
      </c>
      <c r="F68" s="25">
        <v>219.98</v>
      </c>
      <c r="G68" s="25">
        <v>229.98</v>
      </c>
      <c r="H68" s="257">
        <v>239.56</v>
      </c>
      <c r="I68" s="25">
        <v>242.06</v>
      </c>
      <c r="J68" s="25">
        <f>J62</f>
        <v>255.94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1312.77</v>
      </c>
      <c r="F69" s="128">
        <v>1357.32</v>
      </c>
      <c r="G69" s="35">
        <v>1367.32</v>
      </c>
      <c r="H69" s="35">
        <v>1445.3</v>
      </c>
      <c r="I69" s="35">
        <f>ROUND(SUM(I66:I68),2)</f>
        <v>1447.8</v>
      </c>
      <c r="J69" s="35">
        <f>ROUND(SUM(J66:J68),2)</f>
        <v>1593.41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263">
        <v>8.68</v>
      </c>
      <c r="I73" s="34">
        <v>8.68</v>
      </c>
      <c r="J73" s="34">
        <f t="shared" ref="J73:J78" si="1">ROUND(D73*$K$39,2)</f>
        <v>9.6300000000000008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263">
        <v>0.62</v>
      </c>
      <c r="I74" s="34">
        <v>0.62</v>
      </c>
      <c r="J74" s="34">
        <f t="shared" si="1"/>
        <v>0.69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263">
        <v>3.97</v>
      </c>
      <c r="I75" s="34">
        <v>3.97</v>
      </c>
      <c r="J75" s="34">
        <f t="shared" si="1"/>
        <v>4.4000000000000004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263">
        <v>3.31</v>
      </c>
      <c r="I76" s="34">
        <v>3.31</v>
      </c>
      <c r="J76" s="34">
        <f t="shared" si="1"/>
        <v>3.67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263">
        <v>1.24</v>
      </c>
      <c r="I77" s="34">
        <v>1.24</v>
      </c>
      <c r="J77" s="34">
        <f t="shared" si="1"/>
        <v>1.38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263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263">
        <v>20.88</v>
      </c>
      <c r="I83" s="34">
        <v>20.88</v>
      </c>
      <c r="J83" s="34">
        <f t="shared" ref="J83:J88" si="2">ROUND(D83*$K$39,2)</f>
        <v>23.17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263">
        <v>11.58</v>
      </c>
      <c r="I84" s="34">
        <v>11.58</v>
      </c>
      <c r="J84" s="34">
        <f t="shared" si="2"/>
        <v>12.84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263">
        <v>28.74</v>
      </c>
      <c r="I85" s="34">
        <v>28.74</v>
      </c>
      <c r="J85" s="34">
        <f t="shared" si="2"/>
        <v>31.88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263">
        <v>3.52</v>
      </c>
      <c r="I86" s="34">
        <v>3.52</v>
      </c>
      <c r="J86" s="34">
        <f t="shared" si="2"/>
        <v>3.9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263">
        <v>4.34</v>
      </c>
      <c r="I87" s="34">
        <v>4.34</v>
      </c>
      <c r="J87" s="34">
        <f t="shared" si="2"/>
        <v>4.82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263">
        <v>1.45</v>
      </c>
      <c r="I88" s="34">
        <v>1.45</v>
      </c>
      <c r="J88" s="34">
        <f t="shared" si="2"/>
        <v>1.61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263">
        <v>186.73</v>
      </c>
      <c r="I92" s="34">
        <v>186.73</v>
      </c>
      <c r="J92" s="34">
        <f>ROUND(D92*$K$39,2)</f>
        <v>207.14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61.69</v>
      </c>
      <c r="F96" s="34">
        <v>63.94</v>
      </c>
      <c r="G96" s="34">
        <v>63.94</v>
      </c>
      <c r="H96" s="263">
        <v>67.78</v>
      </c>
      <c r="I96" s="34">
        <f>ROUND((I21/220)*M16*1.5*0.25,2)</f>
        <v>33.89</v>
      </c>
      <c r="J96" s="34">
        <f>ROUND((J21/220)*M16*1.5*0.5,2)</f>
        <v>75.19</v>
      </c>
    </row>
    <row r="97" spans="1:11" ht="12.75" customHeight="1" x14ac:dyDescent="0.2">
      <c r="A97" s="370" t="s">
        <v>156</v>
      </c>
      <c r="B97" s="371"/>
      <c r="C97" s="371"/>
      <c r="D97" s="372"/>
      <c r="E97" s="35">
        <v>61.69</v>
      </c>
      <c r="F97" s="35">
        <v>63.94</v>
      </c>
      <c r="G97" s="35">
        <v>63.94</v>
      </c>
      <c r="H97" s="35">
        <v>67.78</v>
      </c>
      <c r="I97" s="35">
        <f>ROUND(SUM(I96:I96),2)</f>
        <v>33.89</v>
      </c>
      <c r="J97" s="35">
        <f>ROUND(SUM(J96:J96),2)</f>
        <v>75.19</v>
      </c>
    </row>
    <row r="98" spans="1:11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1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1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x14ac:dyDescent="0.2">
      <c r="A102" s="48" t="s">
        <v>26</v>
      </c>
      <c r="B102" s="376" t="s">
        <v>95</v>
      </c>
      <c r="C102" s="376"/>
      <c r="D102" s="376"/>
      <c r="E102" s="25">
        <v>234.12</v>
      </c>
      <c r="F102" s="25">
        <v>242.66</v>
      </c>
      <c r="G102" s="25">
        <v>242.66</v>
      </c>
      <c r="H102" s="257">
        <v>257.24</v>
      </c>
      <c r="I102" s="25">
        <v>257.24</v>
      </c>
      <c r="J102" s="25">
        <f>ROUND(J89+J93,2)</f>
        <v>285.36</v>
      </c>
    </row>
    <row r="103" spans="1:11" x14ac:dyDescent="0.2">
      <c r="A103" s="48" t="s">
        <v>27</v>
      </c>
      <c r="B103" s="376" t="s">
        <v>101</v>
      </c>
      <c r="C103" s="376"/>
      <c r="D103" s="376"/>
      <c r="E103" s="25">
        <v>61.69</v>
      </c>
      <c r="F103" s="25">
        <v>63.94</v>
      </c>
      <c r="G103" s="25">
        <v>63.94</v>
      </c>
      <c r="H103" s="257">
        <v>67.78</v>
      </c>
      <c r="I103" s="25">
        <f>I97</f>
        <v>33.89</v>
      </c>
      <c r="J103" s="25">
        <f>J97</f>
        <v>75.19</v>
      </c>
    </row>
    <row r="104" spans="1:11" ht="12.75" customHeight="1" x14ac:dyDescent="0.2">
      <c r="A104" s="369" t="s">
        <v>102</v>
      </c>
      <c r="B104" s="369"/>
      <c r="C104" s="369"/>
      <c r="D104" s="369"/>
      <c r="E104" s="35">
        <v>295.81</v>
      </c>
      <c r="F104" s="35">
        <v>306.60000000000002</v>
      </c>
      <c r="G104" s="35">
        <v>306.60000000000002</v>
      </c>
      <c r="H104" s="35">
        <v>325.02</v>
      </c>
      <c r="I104" s="35">
        <f>ROUND(SUM(I102:I103),2)</f>
        <v>291.13</v>
      </c>
      <c r="J104" s="35">
        <f>ROUND(SUM(J102:J103),2)</f>
        <v>360.55</v>
      </c>
    </row>
    <row r="106" spans="1:1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</row>
    <row r="107" spans="1:1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</row>
    <row r="109" spans="1:11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>
        <v>17.690000000000001</v>
      </c>
      <c r="J109" s="279">
        <f>'Uniformes e Equiptos'!H41</f>
        <v>19.46</v>
      </c>
      <c r="K109" s="49"/>
    </row>
    <row r="110" spans="1:1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</row>
    <row r="111" spans="1:11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</row>
    <row r="113" spans="1:12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</row>
    <row r="114" spans="1:12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109.44</v>
      </c>
      <c r="F115" s="34">
        <v>113.29</v>
      </c>
      <c r="G115" s="34">
        <v>113</v>
      </c>
      <c r="H115" s="263">
        <v>119.61</v>
      </c>
      <c r="I115" s="34">
        <v>119.68</v>
      </c>
      <c r="J115" s="34">
        <f>ROUND(J130*D115,2)</f>
        <v>132.37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38.32</v>
      </c>
      <c r="F116" s="34">
        <v>39.67</v>
      </c>
      <c r="G116" s="34">
        <v>39.57</v>
      </c>
      <c r="H116" s="263">
        <v>41.89</v>
      </c>
      <c r="I116" s="34">
        <v>41.91</v>
      </c>
      <c r="J116" s="34">
        <f>ROUND((J130+J115)*D116,2)</f>
        <v>46.36</v>
      </c>
      <c r="K116" s="133"/>
      <c r="L116" s="139"/>
    </row>
    <row r="117" spans="1:12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</row>
    <row r="118" spans="1:12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26.29</v>
      </c>
      <c r="F118" s="34">
        <v>27.21</v>
      </c>
      <c r="G118" s="34">
        <v>27.15</v>
      </c>
      <c r="H118" s="263">
        <v>28.73</v>
      </c>
      <c r="I118" s="34">
        <v>28.75</v>
      </c>
      <c r="J118" s="34">
        <f>ROUND((($J$130+$J$115+$J$116)/(1-($D$118+$D$119+$D$120)))*D118,2)</f>
        <v>31.8</v>
      </c>
      <c r="K118" s="364"/>
      <c r="L118" s="365"/>
    </row>
    <row r="119" spans="1:12" x14ac:dyDescent="0.2">
      <c r="A119" s="32" t="s">
        <v>108</v>
      </c>
      <c r="B119" s="366" t="s">
        <v>14</v>
      </c>
      <c r="C119" s="367"/>
      <c r="D119" s="51">
        <v>0.03</v>
      </c>
      <c r="E119" s="34">
        <v>121.33</v>
      </c>
      <c r="F119" s="34">
        <v>125.6</v>
      </c>
      <c r="G119" s="34">
        <v>125.29</v>
      </c>
      <c r="H119" s="263">
        <v>132.61000000000001</v>
      </c>
      <c r="I119" s="34">
        <v>132.69</v>
      </c>
      <c r="J119" s="34">
        <f>ROUND((($J$130+$J$115+$J$116)/(1-($D$118+$D$119+$D$120)))*D119,2)</f>
        <v>146.76</v>
      </c>
      <c r="K119" s="364"/>
      <c r="L119" s="365"/>
    </row>
    <row r="120" spans="1:12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101.11</v>
      </c>
      <c r="F120" s="34">
        <v>104.67</v>
      </c>
      <c r="G120" s="34">
        <v>104.41</v>
      </c>
      <c r="H120" s="263">
        <v>110.51</v>
      </c>
      <c r="I120" s="34">
        <v>110.58</v>
      </c>
      <c r="J120" s="34">
        <f>ROUND((($J$130+$J$115+$J$116)/(1-($D$118+$D$119+$D$120)))*D120,2)</f>
        <v>122.3</v>
      </c>
    </row>
    <row r="121" spans="1:12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396.49</v>
      </c>
      <c r="F121" s="31">
        <v>410.44</v>
      </c>
      <c r="G121" s="31">
        <v>409.41999999999996</v>
      </c>
      <c r="H121" s="31">
        <v>433.35</v>
      </c>
      <c r="I121" s="31">
        <f>SUM(I115:I120)</f>
        <v>433.60999999999996</v>
      </c>
      <c r="J121" s="31">
        <f>SUM(J115:J120)</f>
        <v>479.59000000000003</v>
      </c>
    </row>
    <row r="123" spans="1:12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2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216" t="s">
        <v>0</v>
      </c>
      <c r="B125" s="376" t="s">
        <v>65</v>
      </c>
      <c r="C125" s="376"/>
      <c r="D125" s="376"/>
      <c r="E125" s="25">
        <v>1897.88</v>
      </c>
      <c r="F125" s="25">
        <v>1967.1</v>
      </c>
      <c r="G125" s="25">
        <v>1967.1</v>
      </c>
      <c r="H125" s="257">
        <v>2085.35</v>
      </c>
      <c r="I125" s="25">
        <v>2085.35</v>
      </c>
      <c r="J125" s="25">
        <f>J39</f>
        <v>2313.2199999999998</v>
      </c>
    </row>
    <row r="126" spans="1:12" x14ac:dyDescent="0.2">
      <c r="A126" s="216" t="s">
        <v>1</v>
      </c>
      <c r="B126" s="376" t="s">
        <v>68</v>
      </c>
      <c r="C126" s="376"/>
      <c r="D126" s="376"/>
      <c r="E126" s="25">
        <v>1312.77</v>
      </c>
      <c r="F126" s="25">
        <v>1357.32</v>
      </c>
      <c r="G126" s="25">
        <v>1367.32</v>
      </c>
      <c r="H126" s="257">
        <v>1445.3</v>
      </c>
      <c r="I126" s="25">
        <v>1447.8</v>
      </c>
      <c r="J126" s="25">
        <f>J69</f>
        <v>1593.41</v>
      </c>
    </row>
    <row r="127" spans="1:12" x14ac:dyDescent="0.2">
      <c r="A127" s="216" t="s">
        <v>2</v>
      </c>
      <c r="B127" s="376" t="s">
        <v>84</v>
      </c>
      <c r="C127" s="376"/>
      <c r="D127" s="376"/>
      <c r="E127" s="25">
        <v>106.7</v>
      </c>
      <c r="F127" s="25">
        <v>110.59</v>
      </c>
      <c r="G127" s="25">
        <v>91.09</v>
      </c>
      <c r="H127" s="257">
        <v>96.56</v>
      </c>
      <c r="I127" s="25">
        <v>96.56</v>
      </c>
      <c r="J127" s="25">
        <f>J79</f>
        <v>107.11</v>
      </c>
    </row>
    <row r="128" spans="1:12" x14ac:dyDescent="0.2">
      <c r="A128" s="56" t="s">
        <v>3</v>
      </c>
      <c r="B128" s="376" t="s">
        <v>92</v>
      </c>
      <c r="C128" s="376"/>
      <c r="D128" s="376"/>
      <c r="E128" s="25">
        <v>295.81</v>
      </c>
      <c r="F128" s="25">
        <v>306.60000000000002</v>
      </c>
      <c r="G128" s="25">
        <v>306.60000000000002</v>
      </c>
      <c r="H128" s="257">
        <v>325.02</v>
      </c>
      <c r="I128" s="25">
        <v>325.02</v>
      </c>
      <c r="J128" s="25">
        <f>J104</f>
        <v>360.55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>
        <v>34.69</v>
      </c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3647.85</v>
      </c>
      <c r="F130" s="60">
        <v>3776.3</v>
      </c>
      <c r="G130" s="60">
        <v>3766.8</v>
      </c>
      <c r="H130" s="60">
        <v>3986.9199999999996</v>
      </c>
      <c r="I130" s="60">
        <v>3989.4199999999996</v>
      </c>
      <c r="J130" s="60">
        <f>SUM(J125:J129)</f>
        <v>4412.47</v>
      </c>
    </row>
    <row r="131" spans="1:12" x14ac:dyDescent="0.2">
      <c r="A131" s="216" t="s">
        <v>5</v>
      </c>
      <c r="B131" s="376" t="s">
        <v>105</v>
      </c>
      <c r="C131" s="376"/>
      <c r="D131" s="376"/>
      <c r="E131" s="25">
        <v>396.49</v>
      </c>
      <c r="F131" s="25">
        <v>410.44</v>
      </c>
      <c r="G131" s="25">
        <v>409.41999999999996</v>
      </c>
      <c r="H131" s="257">
        <v>433.35</v>
      </c>
      <c r="I131" s="25">
        <v>433.60999999999996</v>
      </c>
      <c r="J131" s="25">
        <f>J121</f>
        <v>479.59000000000003</v>
      </c>
    </row>
    <row r="132" spans="1:12" x14ac:dyDescent="0.2">
      <c r="A132" s="369" t="s">
        <v>113</v>
      </c>
      <c r="B132" s="369"/>
      <c r="C132" s="369"/>
      <c r="D132" s="369"/>
      <c r="E132" s="119">
        <v>4044.34</v>
      </c>
      <c r="F132" s="119">
        <v>4186.74</v>
      </c>
      <c r="G132" s="119">
        <v>4176.22</v>
      </c>
      <c r="H132" s="119">
        <v>4420.2700000000004</v>
      </c>
      <c r="I132" s="119">
        <v>4423.03</v>
      </c>
      <c r="J132" s="119">
        <f>ROUND(SUM(J130:J131),2)/2</f>
        <v>2446.0300000000002</v>
      </c>
    </row>
    <row r="133" spans="1:12" x14ac:dyDescent="0.2">
      <c r="A133" s="380" t="s">
        <v>140</v>
      </c>
      <c r="B133" s="380"/>
      <c r="C133" s="380"/>
      <c r="D133" s="380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368" t="s">
        <v>141</v>
      </c>
      <c r="B134" s="368"/>
      <c r="C134" s="368"/>
      <c r="D134" s="368"/>
      <c r="E134" s="233">
        <v>8088.68</v>
      </c>
      <c r="F134" s="233">
        <v>8373.48</v>
      </c>
      <c r="G134" s="111">
        <v>8352.44</v>
      </c>
      <c r="H134" s="111">
        <v>8840.5400000000009</v>
      </c>
      <c r="I134" s="111">
        <f>ROUND(I132*I133,2)</f>
        <v>8846.06</v>
      </c>
      <c r="J134" s="111">
        <f>ROUND(J132*J133,2)</f>
        <v>4892.0600000000004</v>
      </c>
    </row>
  </sheetData>
  <mergeCells count="123">
    <mergeCell ref="A1:J1"/>
    <mergeCell ref="A3:C3"/>
    <mergeCell ref="D3:J3"/>
    <mergeCell ref="L3:M3"/>
    <mergeCell ref="A4:C4"/>
    <mergeCell ref="D4:J4"/>
    <mergeCell ref="A5:J5"/>
    <mergeCell ref="A6:J6"/>
    <mergeCell ref="A7:J7"/>
    <mergeCell ref="A8:J8"/>
    <mergeCell ref="B9:D9"/>
    <mergeCell ref="B10:D10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30:J30"/>
    <mergeCell ref="B31:C31"/>
    <mergeCell ref="B32:C32"/>
    <mergeCell ref="B33:C33"/>
    <mergeCell ref="B34:C34"/>
    <mergeCell ref="B35:C35"/>
    <mergeCell ref="B36:C36"/>
    <mergeCell ref="B37:C37"/>
    <mergeCell ref="B38:C38"/>
    <mergeCell ref="A39:D39"/>
    <mergeCell ref="A41:J41"/>
    <mergeCell ref="A42:C4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02:D102"/>
    <mergeCell ref="B103:D103"/>
    <mergeCell ref="A104:D104"/>
    <mergeCell ref="A106:J106"/>
    <mergeCell ref="B107:C107"/>
    <mergeCell ref="B108:C108"/>
    <mergeCell ref="B109:C109"/>
    <mergeCell ref="B110:C110"/>
    <mergeCell ref="A111:C111"/>
    <mergeCell ref="A113:J113"/>
    <mergeCell ref="B114:C114"/>
    <mergeCell ref="B115:C115"/>
    <mergeCell ref="B117:C117"/>
    <mergeCell ref="B118:C118"/>
    <mergeCell ref="K118:L118"/>
    <mergeCell ref="B119:C119"/>
    <mergeCell ref="K119:L119"/>
    <mergeCell ref="B120:C120"/>
    <mergeCell ref="A121:C121"/>
    <mergeCell ref="A123:J123"/>
    <mergeCell ref="A124:D124"/>
    <mergeCell ref="B125:D125"/>
    <mergeCell ref="B126:D126"/>
    <mergeCell ref="A133:D133"/>
    <mergeCell ref="A134:D134"/>
    <mergeCell ref="B127:D127"/>
    <mergeCell ref="B128:D128"/>
    <mergeCell ref="B129:D129"/>
    <mergeCell ref="B130:D130"/>
    <mergeCell ref="B131:D131"/>
    <mergeCell ref="A132:D132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P134"/>
  <sheetViews>
    <sheetView view="pageBreakPreview" topLeftCell="A111" zoomScaleNormal="100" zoomScaleSheetLayoutView="100" workbookViewId="0">
      <selection activeCell="K130" sqref="K130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9" width="22.140625" style="10" hidden="1" customWidth="1"/>
    <col min="10" max="10" width="22.140625" style="10" customWidth="1"/>
    <col min="11" max="11" width="21.42578125" style="9" customWidth="1"/>
    <col min="12" max="12" width="33.42578125" style="9" bestFit="1" customWidth="1"/>
    <col min="13" max="13" width="15.7109375" style="292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287"/>
      <c r="B2" s="287"/>
      <c r="C2" s="287"/>
      <c r="D2" s="287"/>
      <c r="E2" s="287"/>
      <c r="F2" s="287"/>
      <c r="G2" s="287"/>
      <c r="H2" s="287"/>
      <c r="I2" s="287"/>
      <c r="J2" s="287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289" t="s">
        <v>0</v>
      </c>
      <c r="B9" s="376" t="s">
        <v>56</v>
      </c>
      <c r="C9" s="376"/>
      <c r="D9" s="376"/>
      <c r="E9" s="288">
        <v>43284</v>
      </c>
      <c r="F9" s="288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289" t="s">
        <v>1</v>
      </c>
      <c r="B10" s="376" t="s">
        <v>57</v>
      </c>
      <c r="C10" s="376"/>
      <c r="D10" s="376"/>
      <c r="E10" s="288" t="s">
        <v>213</v>
      </c>
      <c r="F10" s="288"/>
      <c r="G10" s="290" t="s">
        <v>213</v>
      </c>
      <c r="H10" s="290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289" t="s">
        <v>2</v>
      </c>
      <c r="B11" s="376" t="s">
        <v>58</v>
      </c>
      <c r="C11" s="376"/>
      <c r="D11" s="376"/>
      <c r="E11" s="288" t="s">
        <v>212</v>
      </c>
      <c r="F11" s="288"/>
      <c r="G11" s="290" t="s">
        <v>212</v>
      </c>
      <c r="H11" s="290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88" t="s">
        <v>60</v>
      </c>
      <c r="F12" s="288"/>
      <c r="G12" s="290" t="s">
        <v>60</v>
      </c>
      <c r="H12" s="290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289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ht="25.5" x14ac:dyDescent="0.2">
      <c r="A16" s="387" t="s">
        <v>145</v>
      </c>
      <c r="B16" s="387"/>
      <c r="C16" s="290" t="s">
        <v>321</v>
      </c>
      <c r="D16" s="387">
        <v>2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12.5</v>
      </c>
    </row>
    <row r="17" spans="1:13" ht="13.5" thickBot="1" x14ac:dyDescent="0.25">
      <c r="L17" s="7" t="s">
        <v>35</v>
      </c>
      <c r="M17" s="67">
        <f>ROUND((M13*M14*M16)-(M15*J32),2)</f>
        <v>14.14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/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/>
      <c r="J20" s="25" t="s">
        <v>244</v>
      </c>
      <c r="L20" s="5" t="s">
        <v>37</v>
      </c>
      <c r="M20" s="72">
        <v>12.5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/>
      <c r="J21" s="275">
        <v>1764.4</v>
      </c>
      <c r="L21" s="6" t="s">
        <v>38</v>
      </c>
      <c r="M21" s="69">
        <f>M19*M20</f>
        <v>299.125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/>
      <c r="J22" s="27" t="s">
        <v>245</v>
      </c>
      <c r="L22" s="5" t="s">
        <v>39</v>
      </c>
      <c r="M22" s="70">
        <f>M21*20%</f>
        <v>59.825000000000003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/>
      <c r="J23" s="28">
        <v>43132</v>
      </c>
      <c r="L23" s="7" t="s">
        <v>35</v>
      </c>
      <c r="M23" s="67">
        <f>M21-M22</f>
        <v>239.3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/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/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/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/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2</v>
      </c>
      <c r="F28" s="188">
        <v>2</v>
      </c>
      <c r="G28" s="188">
        <v>2</v>
      </c>
      <c r="H28" s="261">
        <v>2</v>
      </c>
      <c r="I28" s="188"/>
      <c r="J28" s="188">
        <f>D16</f>
        <v>2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/>
      <c r="J32" s="276">
        <f>J21</f>
        <v>1764.4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/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13.71</v>
      </c>
      <c r="F34" s="34">
        <v>14.21</v>
      </c>
      <c r="G34" s="34">
        <v>14.21</v>
      </c>
      <c r="H34" s="263">
        <v>15.06</v>
      </c>
      <c r="I34" s="34"/>
      <c r="J34" s="34">
        <f>ROUND((J32/220)/6*M16,2)</f>
        <v>16.71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0</v>
      </c>
      <c r="F35" s="34">
        <v>0</v>
      </c>
      <c r="G35" s="34">
        <v>0</v>
      </c>
      <c r="H35" s="263">
        <v>0</v>
      </c>
      <c r="I35" s="34"/>
      <c r="J35" s="34">
        <f>ROUND(((J32+J33)/220)*7*M16*0.2,2)</f>
        <v>182.46</v>
      </c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0</v>
      </c>
      <c r="F36" s="34">
        <v>0</v>
      </c>
      <c r="G36" s="34">
        <v>0</v>
      </c>
      <c r="H36" s="263">
        <v>0</v>
      </c>
      <c r="I36" s="34"/>
      <c r="J36" s="34">
        <f>ROUND(((J32+J33)/220)*(87.5/52.5*7.5)*1.5*1.2,2)</f>
        <v>234.59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2.29</v>
      </c>
      <c r="F37" s="34">
        <v>2.37</v>
      </c>
      <c r="G37" s="34">
        <v>2.37</v>
      </c>
      <c r="H37" s="263">
        <v>2.5099999999999998</v>
      </c>
      <c r="I37" s="34"/>
      <c r="J37" s="34">
        <f>ROUND((J34+J35+J36)*16.67%,2)</f>
        <v>72.31</v>
      </c>
      <c r="K37" s="170">
        <f>ROUND((J34)*16.67%,2)</f>
        <v>2.79</v>
      </c>
      <c r="M37" s="9"/>
    </row>
    <row r="38" spans="1:14" x14ac:dyDescent="0.2">
      <c r="A38" s="32" t="s">
        <v>6</v>
      </c>
      <c r="B38" s="366" t="s">
        <v>216</v>
      </c>
      <c r="C38" s="367"/>
      <c r="D38" s="33"/>
      <c r="E38" s="34">
        <v>0</v>
      </c>
      <c r="F38" s="34">
        <v>0</v>
      </c>
      <c r="G38" s="34">
        <v>0</v>
      </c>
      <c r="H38" s="263">
        <v>0</v>
      </c>
      <c r="I38" s="34"/>
      <c r="J38" s="34">
        <v>0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1897.88</v>
      </c>
      <c r="F39" s="31">
        <v>1967.1</v>
      </c>
      <c r="G39" s="35">
        <v>1967.1</v>
      </c>
      <c r="H39" s="35">
        <v>2085.35</v>
      </c>
      <c r="I39" s="35">
        <f>ROUND(SUM(I32:I38),2)</f>
        <v>0</v>
      </c>
      <c r="J39" s="35">
        <f>ROUND(SUM(J32:J38),2)</f>
        <v>2799.79</v>
      </c>
      <c r="K39" s="35">
        <f>ROUND(SUM(J32:J38),2)-J34-K37</f>
        <v>2780.29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263">
        <v>172.25</v>
      </c>
      <c r="I43" s="34"/>
      <c r="J43" s="34">
        <f>ROUND(D43*$K$39,2)</f>
        <v>231.6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263">
        <v>250.2</v>
      </c>
      <c r="I44" s="34"/>
      <c r="J44" s="34">
        <f>ROUND(D44*$K$39,2)</f>
        <v>336.42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0</v>
      </c>
      <c r="J45" s="35">
        <f>ROUND(SUM(J43:J44),2)</f>
        <v>568.02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263">
        <v>413.56</v>
      </c>
      <c r="I48" s="34"/>
      <c r="J48" s="34">
        <f t="shared" ref="J48:J55" si="0">ROUND(D48*($K$39),2)</f>
        <v>556.05999999999995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263">
        <v>51.69</v>
      </c>
      <c r="I49" s="34"/>
      <c r="J49" s="34">
        <f t="shared" si="0"/>
        <v>69.510000000000005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263">
        <v>84.37</v>
      </c>
      <c r="I50" s="34"/>
      <c r="J50" s="34">
        <f t="shared" si="0"/>
        <v>113.44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263">
        <v>31.02</v>
      </c>
      <c r="I51" s="34"/>
      <c r="J51" s="34">
        <f t="shared" si="0"/>
        <v>41.7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263">
        <v>20.68</v>
      </c>
      <c r="I52" s="34"/>
      <c r="J52" s="34">
        <f t="shared" si="0"/>
        <v>27.8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263">
        <v>12.41</v>
      </c>
      <c r="I53" s="34"/>
      <c r="J53" s="34">
        <f t="shared" si="0"/>
        <v>16.68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263">
        <v>4.1399999999999997</v>
      </c>
      <c r="I54" s="34"/>
      <c r="J54" s="34">
        <f t="shared" si="0"/>
        <v>5.56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263">
        <v>165.42</v>
      </c>
      <c r="I55" s="34"/>
      <c r="J55" s="34">
        <f t="shared" si="0"/>
        <v>222.42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0</v>
      </c>
      <c r="J56" s="35">
        <f>ROUND(SUM(J48:J55),2)</f>
        <v>1053.17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12,5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20.64</v>
      </c>
      <c r="F59" s="34">
        <v>17.48</v>
      </c>
      <c r="G59" s="34">
        <v>27.48</v>
      </c>
      <c r="H59" s="263">
        <v>22.06</v>
      </c>
      <c r="I59" s="34"/>
      <c r="J59" s="34">
        <f>IF(M17&lt;=0,0,IF(M17&gt;0,M17))</f>
        <v>14.14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12,5 Dias Trabalhados) - (20% do desconto legal) ]</v>
      </c>
      <c r="C60" s="367"/>
      <c r="D60" s="38" t="s">
        <v>76</v>
      </c>
      <c r="E60" s="34">
        <v>192.3</v>
      </c>
      <c r="F60" s="263">
        <v>200</v>
      </c>
      <c r="G60" s="263">
        <v>200</v>
      </c>
      <c r="H60" s="263">
        <v>215</v>
      </c>
      <c r="I60" s="263"/>
      <c r="J60" s="417">
        <f>M23</f>
        <v>239.3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/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215.44</v>
      </c>
      <c r="F62" s="35">
        <v>219.98</v>
      </c>
      <c r="G62" s="35">
        <v>229.98</v>
      </c>
      <c r="H62" s="35">
        <v>239.56</v>
      </c>
      <c r="I62" s="35">
        <f>ROUND(SUM(I59:I61),2)</f>
        <v>0</v>
      </c>
      <c r="J62" s="35">
        <f>ROUND(SUM(J59:J61),2)</f>
        <v>255.94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289" t="s">
        <v>79</v>
      </c>
      <c r="B66" s="376" t="s">
        <v>80</v>
      </c>
      <c r="C66" s="376"/>
      <c r="D66" s="376"/>
      <c r="E66" s="290">
        <v>384.47</v>
      </c>
      <c r="F66" s="25">
        <v>398.49</v>
      </c>
      <c r="G66" s="25">
        <v>398.49</v>
      </c>
      <c r="H66" s="257">
        <v>422.45</v>
      </c>
      <c r="I66" s="25"/>
      <c r="J66" s="25">
        <f>J45</f>
        <v>568.02</v>
      </c>
    </row>
    <row r="67" spans="1:10" x14ac:dyDescent="0.2">
      <c r="A67" s="289" t="s">
        <v>81</v>
      </c>
      <c r="B67" s="376" t="s">
        <v>82</v>
      </c>
      <c r="C67" s="376"/>
      <c r="D67" s="376"/>
      <c r="E67" s="290">
        <v>712.86</v>
      </c>
      <c r="F67" s="25">
        <v>738.85</v>
      </c>
      <c r="G67" s="25">
        <v>738.85</v>
      </c>
      <c r="H67" s="257">
        <v>783.29</v>
      </c>
      <c r="I67" s="25"/>
      <c r="J67" s="25">
        <f>J56</f>
        <v>1053.17</v>
      </c>
    </row>
    <row r="68" spans="1:10" x14ac:dyDescent="0.2">
      <c r="A68" s="289" t="s">
        <v>83</v>
      </c>
      <c r="B68" s="376" t="s">
        <v>25</v>
      </c>
      <c r="C68" s="376"/>
      <c r="D68" s="376"/>
      <c r="E68" s="290">
        <v>215.44</v>
      </c>
      <c r="F68" s="25">
        <v>219.98</v>
      </c>
      <c r="G68" s="25">
        <v>229.98</v>
      </c>
      <c r="H68" s="257">
        <v>239.56</v>
      </c>
      <c r="I68" s="25"/>
      <c r="J68" s="25">
        <f>J62</f>
        <v>255.94</v>
      </c>
    </row>
    <row r="69" spans="1:10" ht="12.75" customHeight="1" x14ac:dyDescent="0.2">
      <c r="A69" s="369" t="s">
        <v>156</v>
      </c>
      <c r="B69" s="369"/>
      <c r="C69" s="369"/>
      <c r="D69" s="369"/>
      <c r="E69" s="291">
        <v>1312.77</v>
      </c>
      <c r="F69" s="128">
        <v>1357.32</v>
      </c>
      <c r="G69" s="35">
        <v>1367.32</v>
      </c>
      <c r="H69" s="35">
        <v>1445.3</v>
      </c>
      <c r="I69" s="35">
        <f>ROUND(SUM(I66:I68),2)</f>
        <v>0</v>
      </c>
      <c r="J69" s="35">
        <f>ROUND(SUM(J66:J68),2)</f>
        <v>1877.13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263">
        <v>8.68</v>
      </c>
      <c r="I73" s="34"/>
      <c r="J73" s="34">
        <f t="shared" ref="J73:J78" si="1">ROUND(D73*$K$39,2)</f>
        <v>11.68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263">
        <v>0.62</v>
      </c>
      <c r="I74" s="34"/>
      <c r="J74" s="34">
        <f t="shared" si="1"/>
        <v>0.83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263">
        <v>3.97</v>
      </c>
      <c r="I75" s="34"/>
      <c r="J75" s="34">
        <f t="shared" si="1"/>
        <v>5.34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263">
        <v>3.31</v>
      </c>
      <c r="I76" s="34"/>
      <c r="J76" s="34">
        <f t="shared" si="1"/>
        <v>4.45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263">
        <v>1.24</v>
      </c>
      <c r="I77" s="34"/>
      <c r="J77" s="34">
        <f t="shared" si="1"/>
        <v>1.67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263">
        <v>78.739999999999995</v>
      </c>
      <c r="I78" s="34"/>
      <c r="J78" s="34">
        <f t="shared" si="1"/>
        <v>105.87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0</v>
      </c>
      <c r="J79" s="35">
        <f>ROUND(SUM(J73:J78),2)</f>
        <v>129.84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263">
        <v>20.88</v>
      </c>
      <c r="I83" s="34"/>
      <c r="J83" s="34">
        <f t="shared" ref="J83:J88" si="2">ROUND(D83*$K$39,2)</f>
        <v>28.08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263">
        <v>11.58</v>
      </c>
      <c r="I84" s="34"/>
      <c r="J84" s="34">
        <f t="shared" si="2"/>
        <v>15.57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263">
        <v>28.74</v>
      </c>
      <c r="I85" s="34"/>
      <c r="J85" s="34">
        <f t="shared" si="2"/>
        <v>38.65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263">
        <v>3.52</v>
      </c>
      <c r="I86" s="34"/>
      <c r="J86" s="34">
        <f t="shared" si="2"/>
        <v>4.7300000000000004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263">
        <v>4.34</v>
      </c>
      <c r="I87" s="34"/>
      <c r="J87" s="34">
        <f t="shared" si="2"/>
        <v>5.84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263">
        <v>1.45</v>
      </c>
      <c r="I88" s="34"/>
      <c r="J88" s="34">
        <f t="shared" si="2"/>
        <v>1.95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0</v>
      </c>
      <c r="J89" s="35">
        <f>ROUND(SUM(J83:J88),2)</f>
        <v>94.82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263">
        <v>186.73</v>
      </c>
      <c r="I92" s="34"/>
      <c r="J92" s="34">
        <f>ROUND(D92*$K$39,2)</f>
        <v>251.08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0</v>
      </c>
      <c r="J93" s="128">
        <f>ROUND(SUM(J92:J92),2)</f>
        <v>251.08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61.69</v>
      </c>
      <c r="F96" s="34">
        <v>63.94</v>
      </c>
      <c r="G96" s="34">
        <v>63.94</v>
      </c>
      <c r="H96" s="263">
        <v>67.78</v>
      </c>
      <c r="I96" s="34">
        <f>ROUND((I21/220)*M16*1.5*0.25,2)</f>
        <v>0</v>
      </c>
      <c r="J96" s="34">
        <f>ROUND((J21/220)*M16*1.5*0.5,2)</f>
        <v>75.19</v>
      </c>
    </row>
    <row r="97" spans="1:11" ht="12.75" customHeight="1" x14ac:dyDescent="0.2">
      <c r="A97" s="370" t="s">
        <v>156</v>
      </c>
      <c r="B97" s="371"/>
      <c r="C97" s="371"/>
      <c r="D97" s="372"/>
      <c r="E97" s="35">
        <v>61.69</v>
      </c>
      <c r="F97" s="35">
        <v>63.94</v>
      </c>
      <c r="G97" s="35">
        <v>63.94</v>
      </c>
      <c r="H97" s="35">
        <v>67.78</v>
      </c>
      <c r="I97" s="35">
        <f>ROUND(SUM(I96:I96),2)</f>
        <v>0</v>
      </c>
      <c r="J97" s="35">
        <f>ROUND(SUM(J96:J96),2)</f>
        <v>75.19</v>
      </c>
    </row>
    <row r="98" spans="1:11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1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1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x14ac:dyDescent="0.2">
      <c r="A102" s="48" t="s">
        <v>26</v>
      </c>
      <c r="B102" s="376" t="s">
        <v>95</v>
      </c>
      <c r="C102" s="376"/>
      <c r="D102" s="376"/>
      <c r="E102" s="25">
        <v>234.12</v>
      </c>
      <c r="F102" s="25">
        <v>242.66</v>
      </c>
      <c r="G102" s="25">
        <v>242.66</v>
      </c>
      <c r="H102" s="257">
        <v>257.24</v>
      </c>
      <c r="I102" s="25"/>
      <c r="J102" s="25">
        <f>ROUND(J89+J93,2)</f>
        <v>345.9</v>
      </c>
    </row>
    <row r="103" spans="1:11" x14ac:dyDescent="0.2">
      <c r="A103" s="48" t="s">
        <v>27</v>
      </c>
      <c r="B103" s="376" t="s">
        <v>101</v>
      </c>
      <c r="C103" s="376"/>
      <c r="D103" s="376"/>
      <c r="E103" s="25">
        <v>61.69</v>
      </c>
      <c r="F103" s="25">
        <v>63.94</v>
      </c>
      <c r="G103" s="25">
        <v>63.94</v>
      </c>
      <c r="H103" s="257">
        <v>67.78</v>
      </c>
      <c r="I103" s="25"/>
      <c r="J103" s="25">
        <f>J97</f>
        <v>75.19</v>
      </c>
    </row>
    <row r="104" spans="1:11" ht="12.75" customHeight="1" x14ac:dyDescent="0.2">
      <c r="A104" s="369" t="s">
        <v>102</v>
      </c>
      <c r="B104" s="369"/>
      <c r="C104" s="369"/>
      <c r="D104" s="369"/>
      <c r="E104" s="35">
        <v>295.81</v>
      </c>
      <c r="F104" s="35">
        <v>306.60000000000002</v>
      </c>
      <c r="G104" s="35">
        <v>306.60000000000002</v>
      </c>
      <c r="H104" s="35">
        <v>325.02</v>
      </c>
      <c r="I104" s="35">
        <f>ROUND(SUM(I102:I103),2)</f>
        <v>0</v>
      </c>
      <c r="J104" s="35">
        <f>ROUND(SUM(J102:J103),2)</f>
        <v>421.09</v>
      </c>
    </row>
    <row r="106" spans="1:1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</row>
    <row r="107" spans="1:1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/>
      <c r="J108" s="418">
        <f>'Uniformes e Equiptos'!H12</f>
        <v>18.72</v>
      </c>
    </row>
    <row r="109" spans="1:11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/>
      <c r="J109" s="418">
        <f>'Uniformes e Equiptos'!H41</f>
        <v>19.46</v>
      </c>
      <c r="K109" s="49"/>
    </row>
    <row r="110" spans="1:1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/>
      <c r="J110" s="34">
        <f>M29</f>
        <v>0</v>
      </c>
      <c r="K110" s="49"/>
    </row>
    <row r="111" spans="1:11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0</v>
      </c>
      <c r="J111" s="35">
        <f>ROUND(SUM(J108:J110),2)</f>
        <v>38.18</v>
      </c>
    </row>
    <row r="113" spans="1:12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</row>
    <row r="114" spans="1:12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109.44</v>
      </c>
      <c r="F115" s="34">
        <v>113.29</v>
      </c>
      <c r="G115" s="34">
        <v>113</v>
      </c>
      <c r="H115" s="263">
        <v>119.61</v>
      </c>
      <c r="I115" s="34"/>
      <c r="J115" s="34">
        <f>ROUND(J130*D115,2)</f>
        <v>157.97999999999999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38.32</v>
      </c>
      <c r="F116" s="34">
        <v>39.67</v>
      </c>
      <c r="G116" s="34">
        <v>39.57</v>
      </c>
      <c r="H116" s="263">
        <v>41.89</v>
      </c>
      <c r="I116" s="34"/>
      <c r="J116" s="34">
        <f>ROUND((J130+J115)*D116,2)</f>
        <v>55.32</v>
      </c>
      <c r="K116" s="133"/>
      <c r="L116" s="139"/>
    </row>
    <row r="117" spans="1:12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</row>
    <row r="118" spans="1:12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26.29</v>
      </c>
      <c r="F118" s="34">
        <v>27.21</v>
      </c>
      <c r="G118" s="34">
        <v>27.15</v>
      </c>
      <c r="H118" s="263">
        <v>28.73</v>
      </c>
      <c r="I118" s="34"/>
      <c r="J118" s="34">
        <f>ROUND((($J$130+$J$115+$J$116)/(1-($D$118+$D$119+$D$120)))*D118,2)</f>
        <v>37.950000000000003</v>
      </c>
      <c r="K118" s="364"/>
      <c r="L118" s="365"/>
    </row>
    <row r="119" spans="1:12" x14ac:dyDescent="0.2">
      <c r="A119" s="32" t="s">
        <v>108</v>
      </c>
      <c r="B119" s="366" t="s">
        <v>14</v>
      </c>
      <c r="C119" s="367"/>
      <c r="D119" s="51">
        <v>0.03</v>
      </c>
      <c r="E119" s="34">
        <v>121.33</v>
      </c>
      <c r="F119" s="34">
        <v>125.6</v>
      </c>
      <c r="G119" s="34">
        <v>125.29</v>
      </c>
      <c r="H119" s="263">
        <v>132.61000000000001</v>
      </c>
      <c r="I119" s="34"/>
      <c r="J119" s="34">
        <f>ROUND((($J$130+$J$115+$J$116)/(1-($D$118+$D$119+$D$120)))*D119,2)</f>
        <v>175.15</v>
      </c>
      <c r="K119" s="364"/>
      <c r="L119" s="365"/>
    </row>
    <row r="120" spans="1:12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101.11</v>
      </c>
      <c r="F120" s="34">
        <v>104.67</v>
      </c>
      <c r="G120" s="34">
        <v>104.41</v>
      </c>
      <c r="H120" s="263">
        <v>110.51</v>
      </c>
      <c r="I120" s="34"/>
      <c r="J120" s="34">
        <f>ROUND((($J$130+$J$115+$J$116)/(1-($D$118+$D$119+$D$120)))*D120,2)</f>
        <v>145.96</v>
      </c>
    </row>
    <row r="121" spans="1:12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396.49</v>
      </c>
      <c r="F121" s="31">
        <v>410.44</v>
      </c>
      <c r="G121" s="31">
        <v>409.41999999999996</v>
      </c>
      <c r="H121" s="31">
        <v>433.35</v>
      </c>
      <c r="I121" s="31">
        <f>SUM(I115:I120)</f>
        <v>0</v>
      </c>
      <c r="J121" s="31">
        <f>SUM(J115:J120)</f>
        <v>572.36</v>
      </c>
    </row>
    <row r="123" spans="1:12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2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290" t="s">
        <v>0</v>
      </c>
      <c r="B125" s="376" t="s">
        <v>65</v>
      </c>
      <c r="C125" s="376"/>
      <c r="D125" s="376"/>
      <c r="E125" s="25">
        <v>1897.88</v>
      </c>
      <c r="F125" s="25">
        <v>1967.1</v>
      </c>
      <c r="G125" s="25">
        <v>1967.1</v>
      </c>
      <c r="H125" s="257">
        <v>2085.35</v>
      </c>
      <c r="I125" s="25"/>
      <c r="J125" s="25">
        <f>J39</f>
        <v>2799.79</v>
      </c>
    </row>
    <row r="126" spans="1:12" x14ac:dyDescent="0.2">
      <c r="A126" s="290" t="s">
        <v>1</v>
      </c>
      <c r="B126" s="376" t="s">
        <v>68</v>
      </c>
      <c r="C126" s="376"/>
      <c r="D126" s="376"/>
      <c r="E126" s="25">
        <v>1312.77</v>
      </c>
      <c r="F126" s="25">
        <v>1357.32</v>
      </c>
      <c r="G126" s="25">
        <v>1367.32</v>
      </c>
      <c r="H126" s="257">
        <v>1445.3</v>
      </c>
      <c r="I126" s="25"/>
      <c r="J126" s="25">
        <f>J69</f>
        <v>1877.13</v>
      </c>
    </row>
    <row r="127" spans="1:12" x14ac:dyDescent="0.2">
      <c r="A127" s="290" t="s">
        <v>2</v>
      </c>
      <c r="B127" s="376" t="s">
        <v>84</v>
      </c>
      <c r="C127" s="376"/>
      <c r="D127" s="376"/>
      <c r="E127" s="25">
        <v>106.7</v>
      </c>
      <c r="F127" s="25">
        <v>110.59</v>
      </c>
      <c r="G127" s="25">
        <v>91.09</v>
      </c>
      <c r="H127" s="257">
        <v>96.56</v>
      </c>
      <c r="I127" s="25"/>
      <c r="J127" s="25">
        <f>J79</f>
        <v>129.84</v>
      </c>
    </row>
    <row r="128" spans="1:12" x14ac:dyDescent="0.2">
      <c r="A128" s="56" t="s">
        <v>3</v>
      </c>
      <c r="B128" s="376" t="s">
        <v>92</v>
      </c>
      <c r="C128" s="376"/>
      <c r="D128" s="376"/>
      <c r="E128" s="25">
        <v>295.81</v>
      </c>
      <c r="F128" s="25">
        <v>306.60000000000002</v>
      </c>
      <c r="G128" s="25">
        <v>306.60000000000002</v>
      </c>
      <c r="H128" s="257">
        <v>325.02</v>
      </c>
      <c r="I128" s="25"/>
      <c r="J128" s="25">
        <f>J104</f>
        <v>421.09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/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3647.85</v>
      </c>
      <c r="F130" s="60">
        <v>3776.3</v>
      </c>
      <c r="G130" s="60">
        <v>3766.8</v>
      </c>
      <c r="H130" s="60">
        <v>3986.9199999999996</v>
      </c>
      <c r="I130" s="60"/>
      <c r="J130" s="60">
        <f>SUM(J125:J129)</f>
        <v>5266.0300000000007</v>
      </c>
    </row>
    <row r="131" spans="1:12" x14ac:dyDescent="0.2">
      <c r="A131" s="290" t="s">
        <v>5</v>
      </c>
      <c r="B131" s="376" t="s">
        <v>105</v>
      </c>
      <c r="C131" s="376"/>
      <c r="D131" s="376"/>
      <c r="E131" s="25">
        <v>396.49</v>
      </c>
      <c r="F131" s="25">
        <v>410.44</v>
      </c>
      <c r="G131" s="25">
        <v>409.41999999999996</v>
      </c>
      <c r="H131" s="257">
        <v>433.35</v>
      </c>
      <c r="I131" s="25"/>
      <c r="J131" s="25">
        <f>J121</f>
        <v>572.36</v>
      </c>
    </row>
    <row r="132" spans="1:12" x14ac:dyDescent="0.2">
      <c r="A132" s="369" t="s">
        <v>113</v>
      </c>
      <c r="B132" s="369"/>
      <c r="C132" s="369"/>
      <c r="D132" s="369"/>
      <c r="E132" s="119">
        <v>4044.34</v>
      </c>
      <c r="F132" s="119">
        <v>4186.74</v>
      </c>
      <c r="G132" s="119">
        <v>4176.22</v>
      </c>
      <c r="H132" s="119">
        <v>4420.2700000000004</v>
      </c>
      <c r="I132" s="119"/>
      <c r="J132" s="119">
        <f>ROUND(SUM(J130:J131),2)/2</f>
        <v>2919.1950000000002</v>
      </c>
    </row>
    <row r="133" spans="1:12" x14ac:dyDescent="0.2">
      <c r="A133" s="380" t="s">
        <v>140</v>
      </c>
      <c r="B133" s="380"/>
      <c r="C133" s="380"/>
      <c r="D133" s="380"/>
      <c r="E133" s="118">
        <v>2</v>
      </c>
      <c r="F133" s="118">
        <v>2</v>
      </c>
      <c r="G133" s="118">
        <v>2</v>
      </c>
      <c r="H133" s="118">
        <v>2</v>
      </c>
      <c r="I133" s="118"/>
      <c r="J133" s="118">
        <f>D16</f>
        <v>2</v>
      </c>
    </row>
    <row r="134" spans="1:12" x14ac:dyDescent="0.2">
      <c r="A134" s="368" t="s">
        <v>141</v>
      </c>
      <c r="B134" s="368"/>
      <c r="C134" s="368"/>
      <c r="D134" s="368"/>
      <c r="E134" s="233">
        <v>8088.68</v>
      </c>
      <c r="F134" s="233">
        <v>8373.48</v>
      </c>
      <c r="G134" s="111">
        <v>8352.44</v>
      </c>
      <c r="H134" s="111">
        <v>8840.5400000000009</v>
      </c>
      <c r="I134" s="111">
        <f>ROUND(I132*I133,2)</f>
        <v>0</v>
      </c>
      <c r="J134" s="111">
        <f>ROUND(J132*J133,2)</f>
        <v>5838.39</v>
      </c>
    </row>
  </sheetData>
  <mergeCells count="123">
    <mergeCell ref="A133:D133"/>
    <mergeCell ref="A134:D134"/>
    <mergeCell ref="B127:D127"/>
    <mergeCell ref="B128:D128"/>
    <mergeCell ref="B129:D129"/>
    <mergeCell ref="B130:D130"/>
    <mergeCell ref="B131:D131"/>
    <mergeCell ref="A132:D132"/>
    <mergeCell ref="B120:C120"/>
    <mergeCell ref="A121:C121"/>
    <mergeCell ref="A123:J123"/>
    <mergeCell ref="A124:D124"/>
    <mergeCell ref="B125:D125"/>
    <mergeCell ref="B126:D126"/>
    <mergeCell ref="B115:C115"/>
    <mergeCell ref="B117:C117"/>
    <mergeCell ref="B118:C118"/>
    <mergeCell ref="K118:L118"/>
    <mergeCell ref="B119:C119"/>
    <mergeCell ref="K119:L119"/>
    <mergeCell ref="B108:C108"/>
    <mergeCell ref="B109:C109"/>
    <mergeCell ref="B110:C110"/>
    <mergeCell ref="A111:C111"/>
    <mergeCell ref="A113:J113"/>
    <mergeCell ref="B114:C114"/>
    <mergeCell ref="A101:D101"/>
    <mergeCell ref="B102:D102"/>
    <mergeCell ref="B103:D103"/>
    <mergeCell ref="A104:D104"/>
    <mergeCell ref="A106:J106"/>
    <mergeCell ref="B107:C107"/>
    <mergeCell ref="A93:C93"/>
    <mergeCell ref="A95:D95"/>
    <mergeCell ref="B96:D96"/>
    <mergeCell ref="A97:D97"/>
    <mergeCell ref="A98:J98"/>
    <mergeCell ref="A100:J100"/>
    <mergeCell ref="B86:C86"/>
    <mergeCell ref="B87:C87"/>
    <mergeCell ref="B88:C88"/>
    <mergeCell ref="A89:C89"/>
    <mergeCell ref="A91:C91"/>
    <mergeCell ref="B92:C92"/>
    <mergeCell ref="A79:C79"/>
    <mergeCell ref="A81:J81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78:C78"/>
    <mergeCell ref="B66:D66"/>
    <mergeCell ref="B67:D67"/>
    <mergeCell ref="B68:D68"/>
    <mergeCell ref="A69:D69"/>
    <mergeCell ref="A71:J71"/>
    <mergeCell ref="B72:C72"/>
    <mergeCell ref="B59:C59"/>
    <mergeCell ref="B60:C60"/>
    <mergeCell ref="B61:C61"/>
    <mergeCell ref="A62:C62"/>
    <mergeCell ref="A64:J64"/>
    <mergeCell ref="A65:D65"/>
    <mergeCell ref="B52:C52"/>
    <mergeCell ref="B53:C53"/>
    <mergeCell ref="B54:C54"/>
    <mergeCell ref="B55:C55"/>
    <mergeCell ref="A56:C56"/>
    <mergeCell ref="A58:C58"/>
    <mergeCell ref="A45:C45"/>
    <mergeCell ref="A47:C47"/>
    <mergeCell ref="B48:C48"/>
    <mergeCell ref="B49:C49"/>
    <mergeCell ref="B50:C50"/>
    <mergeCell ref="B51:C51"/>
    <mergeCell ref="B38:C38"/>
    <mergeCell ref="A39:D39"/>
    <mergeCell ref="A41:J41"/>
    <mergeCell ref="A42:C42"/>
    <mergeCell ref="B43:C43"/>
    <mergeCell ref="B44:C44"/>
    <mergeCell ref="B32:C32"/>
    <mergeCell ref="B33:C33"/>
    <mergeCell ref="B34:C34"/>
    <mergeCell ref="B35:C35"/>
    <mergeCell ref="B36:C36"/>
    <mergeCell ref="B37:C37"/>
    <mergeCell ref="B25:D25"/>
    <mergeCell ref="B26:D26"/>
    <mergeCell ref="B27:D27"/>
    <mergeCell ref="B28:D28"/>
    <mergeCell ref="A30:J30"/>
    <mergeCell ref="B31:C31"/>
    <mergeCell ref="B19:D19"/>
    <mergeCell ref="B20:D20"/>
    <mergeCell ref="B21:D21"/>
    <mergeCell ref="B22:D22"/>
    <mergeCell ref="B23:D23"/>
    <mergeCell ref="B24:D24"/>
    <mergeCell ref="B11:D11"/>
    <mergeCell ref="B12:D12"/>
    <mergeCell ref="A14:J14"/>
    <mergeCell ref="A15:B15"/>
    <mergeCell ref="D15:J15"/>
    <mergeCell ref="A16:B16"/>
    <mergeCell ref="D16:J16"/>
    <mergeCell ref="A5:J5"/>
    <mergeCell ref="A6:J6"/>
    <mergeCell ref="A7:J7"/>
    <mergeCell ref="A8:J8"/>
    <mergeCell ref="B9:D9"/>
    <mergeCell ref="B10:D10"/>
    <mergeCell ref="A1:J1"/>
    <mergeCell ref="A3:C3"/>
    <mergeCell ref="D3:J3"/>
    <mergeCell ref="L3:M3"/>
    <mergeCell ref="A4:C4"/>
    <mergeCell ref="D4:J4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tabColor theme="3"/>
  </sheetPr>
  <dimension ref="A1:P134"/>
  <sheetViews>
    <sheetView view="pageBreakPreview" topLeftCell="A13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34"/>
      <c r="B2" s="134"/>
      <c r="C2" s="134"/>
      <c r="D2" s="134"/>
      <c r="E2" s="226"/>
      <c r="F2" s="237"/>
      <c r="G2" s="248"/>
      <c r="H2" s="248"/>
      <c r="I2" s="252"/>
      <c r="J2" s="134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35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ht="38.25" x14ac:dyDescent="0.2">
      <c r="A16" s="387" t="s">
        <v>145</v>
      </c>
      <c r="B16" s="387"/>
      <c r="C16" s="136" t="s">
        <v>189</v>
      </c>
      <c r="D16" s="387">
        <v>2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15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2</v>
      </c>
      <c r="F28" s="188">
        <v>2</v>
      </c>
      <c r="G28" s="188">
        <v>2</v>
      </c>
      <c r="H28" s="261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>
        <v>1590.6</v>
      </c>
      <c r="J32" s="276">
        <f>J21</f>
        <v>1764.4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16.45</v>
      </c>
      <c r="F34" s="34">
        <v>17.05</v>
      </c>
      <c r="G34" s="34">
        <v>17.05</v>
      </c>
      <c r="H34" s="263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0</v>
      </c>
      <c r="F35" s="34">
        <v>0</v>
      </c>
      <c r="G35" s="34">
        <v>0</v>
      </c>
      <c r="H35" s="263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0</v>
      </c>
      <c r="F36" s="34">
        <v>0</v>
      </c>
      <c r="G36" s="34">
        <v>0</v>
      </c>
      <c r="H36" s="263">
        <v>0</v>
      </c>
      <c r="I36" s="34">
        <v>0</v>
      </c>
      <c r="J36" s="34">
        <v>0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2.74</v>
      </c>
      <c r="F37" s="34">
        <v>2.84</v>
      </c>
      <c r="G37" s="34">
        <v>2.84</v>
      </c>
      <c r="H37" s="263">
        <v>3.01</v>
      </c>
      <c r="I37" s="34">
        <v>3.01</v>
      </c>
      <c r="J37" s="34">
        <f>ROUND((J34+J35+J36)*16.67%,2)</f>
        <v>3.34</v>
      </c>
      <c r="K37" s="170">
        <f>ROUND((J34)*16.67%,2)</f>
        <v>3.34</v>
      </c>
      <c r="M37" s="9"/>
    </row>
    <row r="38" spans="1:14" x14ac:dyDescent="0.2">
      <c r="A38" s="32" t="s">
        <v>6</v>
      </c>
      <c r="B38" s="366" t="s">
        <v>216</v>
      </c>
      <c r="C38" s="367"/>
      <c r="D38" s="33"/>
      <c r="E38" s="34">
        <v>0</v>
      </c>
      <c r="F38" s="34">
        <v>0</v>
      </c>
      <c r="G38" s="34">
        <v>0</v>
      </c>
      <c r="H38" s="263">
        <v>0</v>
      </c>
      <c r="I38" s="34">
        <v>0</v>
      </c>
      <c r="J38" s="34">
        <v>0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1901.07</v>
      </c>
      <c r="F39" s="31">
        <v>1970.41</v>
      </c>
      <c r="G39" s="35">
        <v>1970.41</v>
      </c>
      <c r="H39" s="35">
        <v>2088.87</v>
      </c>
      <c r="I39" s="35">
        <f>ROUND(SUM(I32:I38),2)</f>
        <v>2088.87</v>
      </c>
      <c r="J39" s="35">
        <f>ROUND(SUM(J32:J38),2)</f>
        <v>2317.11</v>
      </c>
      <c r="K39" s="35">
        <f>ROUND(SUM(J32:J38),2)-J34-K37</f>
        <v>2293.7199999999998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263">
        <v>172.25</v>
      </c>
      <c r="I43" s="34">
        <v>172.25</v>
      </c>
      <c r="J43" s="34">
        <f>ROUND(D43*$K$39,2)</f>
        <v>191.07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263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263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263">
        <v>51.69</v>
      </c>
      <c r="I49" s="34">
        <v>51.69</v>
      </c>
      <c r="J49" s="34">
        <f t="shared" si="0"/>
        <v>57.34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263">
        <v>84.37</v>
      </c>
      <c r="I50" s="34">
        <v>84.37</v>
      </c>
      <c r="J50" s="34">
        <f t="shared" si="0"/>
        <v>93.58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263">
        <v>31.02</v>
      </c>
      <c r="I51" s="34">
        <v>31.02</v>
      </c>
      <c r="J51" s="34">
        <f t="shared" si="0"/>
        <v>34.409999999999997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263">
        <v>20.68</v>
      </c>
      <c r="I52" s="34">
        <v>20.68</v>
      </c>
      <c r="J52" s="34">
        <f t="shared" si="0"/>
        <v>22.94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263">
        <v>12.41</v>
      </c>
      <c r="I53" s="34">
        <v>12.41</v>
      </c>
      <c r="J53" s="34">
        <f t="shared" si="0"/>
        <v>13.76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263">
        <v>4.1399999999999997</v>
      </c>
      <c r="I54" s="34">
        <v>4.1399999999999997</v>
      </c>
      <c r="J54" s="34">
        <f t="shared" si="0"/>
        <v>4.59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263">
        <v>165.42</v>
      </c>
      <c r="I55" s="34">
        <v>165.42</v>
      </c>
      <c r="J55" s="34">
        <f t="shared" si="0"/>
        <v>183.5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42.14</v>
      </c>
      <c r="F59" s="34">
        <v>38.979999999999997</v>
      </c>
      <c r="G59" s="34">
        <v>50.98</v>
      </c>
      <c r="H59" s="263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367"/>
      <c r="D60" s="38" t="s">
        <v>76</v>
      </c>
      <c r="E60" s="34">
        <v>230.76</v>
      </c>
      <c r="F60" s="263">
        <v>240</v>
      </c>
      <c r="G60" s="263">
        <v>240</v>
      </c>
      <c r="H60" s="263">
        <v>258</v>
      </c>
      <c r="I60" s="263">
        <v>258</v>
      </c>
      <c r="J60" s="276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376" t="s">
        <v>80</v>
      </c>
      <c r="C66" s="376"/>
      <c r="D66" s="376"/>
      <c r="E66" s="228">
        <v>384.47</v>
      </c>
      <c r="F66" s="25">
        <v>398.49</v>
      </c>
      <c r="G66" s="25">
        <v>398.49</v>
      </c>
      <c r="H66" s="257">
        <v>422.45</v>
      </c>
      <c r="I66" s="25">
        <v>422.45</v>
      </c>
      <c r="J66" s="25">
        <f>J45</f>
        <v>468.61</v>
      </c>
    </row>
    <row r="67" spans="1:10" x14ac:dyDescent="0.2">
      <c r="A67" s="135" t="s">
        <v>81</v>
      </c>
      <c r="B67" s="376" t="s">
        <v>82</v>
      </c>
      <c r="C67" s="376"/>
      <c r="D67" s="376"/>
      <c r="E67" s="228">
        <v>712.86</v>
      </c>
      <c r="F67" s="25">
        <v>738.85</v>
      </c>
      <c r="G67" s="25">
        <v>738.85</v>
      </c>
      <c r="H67" s="257">
        <v>783.29</v>
      </c>
      <c r="I67" s="25">
        <v>783.29</v>
      </c>
      <c r="J67" s="25">
        <f>J56</f>
        <v>868.86</v>
      </c>
    </row>
    <row r="68" spans="1:10" x14ac:dyDescent="0.2">
      <c r="A68" s="135" t="s">
        <v>83</v>
      </c>
      <c r="B68" s="376" t="s">
        <v>25</v>
      </c>
      <c r="C68" s="376"/>
      <c r="D68" s="376"/>
      <c r="E68" s="228">
        <v>275.39999999999998</v>
      </c>
      <c r="F68" s="25">
        <v>281.48</v>
      </c>
      <c r="G68" s="25">
        <v>293.48</v>
      </c>
      <c r="H68" s="257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1372.73</v>
      </c>
      <c r="F69" s="128">
        <v>1418.82</v>
      </c>
      <c r="G69" s="35">
        <v>1430.82</v>
      </c>
      <c r="H69" s="35">
        <v>1511.8</v>
      </c>
      <c r="I69" s="35">
        <f>ROUND(SUM(I66:I68),2)</f>
        <v>1514.8</v>
      </c>
      <c r="J69" s="35">
        <f>ROUND(SUM(J66:J68),2)</f>
        <v>1665.27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263">
        <v>8.68</v>
      </c>
      <c r="I73" s="34">
        <v>8.68</v>
      </c>
      <c r="J73" s="34">
        <f t="shared" ref="J73:J78" si="1">ROUND(D73*$K$39,2)</f>
        <v>9.6300000000000008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263">
        <v>0.62</v>
      </c>
      <c r="I74" s="34">
        <v>0.62</v>
      </c>
      <c r="J74" s="34">
        <f t="shared" si="1"/>
        <v>0.69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263">
        <v>3.97</v>
      </c>
      <c r="I75" s="34">
        <v>3.97</v>
      </c>
      <c r="J75" s="34">
        <f t="shared" si="1"/>
        <v>4.4000000000000004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263">
        <v>3.31</v>
      </c>
      <c r="I76" s="34">
        <v>3.31</v>
      </c>
      <c r="J76" s="34">
        <f t="shared" si="1"/>
        <v>3.67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263">
        <v>1.24</v>
      </c>
      <c r="I77" s="34">
        <v>1.24</v>
      </c>
      <c r="J77" s="34">
        <f t="shared" si="1"/>
        <v>1.38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263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263">
        <v>20.88</v>
      </c>
      <c r="I83" s="34">
        <v>20.88</v>
      </c>
      <c r="J83" s="34">
        <f t="shared" ref="J83:J88" si="2">ROUND(D83*$K$39,2)</f>
        <v>23.17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263">
        <v>11.58</v>
      </c>
      <c r="I84" s="34">
        <v>11.58</v>
      </c>
      <c r="J84" s="34">
        <f t="shared" si="2"/>
        <v>12.84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263">
        <v>28.74</v>
      </c>
      <c r="I85" s="34">
        <v>28.74</v>
      </c>
      <c r="J85" s="34">
        <f t="shared" si="2"/>
        <v>31.88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263">
        <v>3.52</v>
      </c>
      <c r="I86" s="34">
        <v>3.52</v>
      </c>
      <c r="J86" s="34">
        <f t="shared" si="2"/>
        <v>3.9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263">
        <v>4.34</v>
      </c>
      <c r="I87" s="34">
        <v>4.34</v>
      </c>
      <c r="J87" s="34">
        <f t="shared" si="2"/>
        <v>4.82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263">
        <v>1.45</v>
      </c>
      <c r="I88" s="34">
        <v>1.45</v>
      </c>
      <c r="J88" s="34">
        <f t="shared" si="2"/>
        <v>1.61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263">
        <v>186.73</v>
      </c>
      <c r="I92" s="34">
        <v>186.73</v>
      </c>
      <c r="J92" s="34">
        <f>ROUND(D92*$K$39,2)</f>
        <v>207.14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74.03</v>
      </c>
      <c r="F96" s="34">
        <v>76.73</v>
      </c>
      <c r="G96" s="34">
        <v>76.73</v>
      </c>
      <c r="H96" s="263">
        <v>81.34</v>
      </c>
      <c r="I96" s="34">
        <f>ROUND((I21/220)*M16*1.5*0.25,2)</f>
        <v>40.67</v>
      </c>
      <c r="J96" s="34">
        <f>ROUND((J21/220)*M16*1.5*0.5,2)</f>
        <v>90.23</v>
      </c>
    </row>
    <row r="97" spans="1:16" ht="12.75" customHeight="1" x14ac:dyDescent="0.2">
      <c r="A97" s="370" t="s">
        <v>156</v>
      </c>
      <c r="B97" s="371"/>
      <c r="C97" s="371"/>
      <c r="D97" s="372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6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6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6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376" t="s">
        <v>95</v>
      </c>
      <c r="C102" s="376"/>
      <c r="D102" s="376"/>
      <c r="E102" s="25">
        <v>234.12</v>
      </c>
      <c r="F102" s="25">
        <v>242.66</v>
      </c>
      <c r="G102" s="25">
        <v>242.66</v>
      </c>
      <c r="H102" s="257">
        <v>257.24</v>
      </c>
      <c r="I102" s="25">
        <v>257.24</v>
      </c>
      <c r="J102" s="25">
        <f>ROUND(J89+J93,2)</f>
        <v>285.36</v>
      </c>
    </row>
    <row r="103" spans="1:16" x14ac:dyDescent="0.2">
      <c r="A103" s="48" t="s">
        <v>27</v>
      </c>
      <c r="B103" s="376" t="s">
        <v>101</v>
      </c>
      <c r="C103" s="376"/>
      <c r="D103" s="376"/>
      <c r="E103" s="25">
        <v>74.03</v>
      </c>
      <c r="F103" s="25">
        <v>76.73</v>
      </c>
      <c r="G103" s="25">
        <v>76.73</v>
      </c>
      <c r="H103" s="257">
        <v>81.34</v>
      </c>
      <c r="I103" s="25">
        <f>I97</f>
        <v>40.67</v>
      </c>
      <c r="J103" s="25">
        <f>J97</f>
        <v>90.23</v>
      </c>
    </row>
    <row r="104" spans="1:16" s="137" customFormat="1" ht="12.75" customHeight="1" x14ac:dyDescent="0.2">
      <c r="A104" s="369" t="s">
        <v>102</v>
      </c>
      <c r="B104" s="369"/>
      <c r="C104" s="369"/>
      <c r="D104" s="369"/>
      <c r="E104" s="35">
        <v>308.14999999999998</v>
      </c>
      <c r="F104" s="35">
        <v>319.39</v>
      </c>
      <c r="G104" s="35">
        <v>319.39</v>
      </c>
      <c r="H104" s="35">
        <v>338.58</v>
      </c>
      <c r="I104" s="35">
        <f>ROUND(SUM(I102:I103),2)</f>
        <v>297.91000000000003</v>
      </c>
      <c r="J104" s="35">
        <f>ROUND(SUM(J102:J103),2)</f>
        <v>375.59</v>
      </c>
      <c r="K104" s="9"/>
      <c r="L104" s="9"/>
      <c r="N104" s="9"/>
      <c r="O104" s="9"/>
      <c r="P104" s="9"/>
    </row>
    <row r="106" spans="1:16" s="137" customFormat="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366" t="s">
        <v>190</v>
      </c>
      <c r="C109" s="367"/>
      <c r="D109" s="38" t="s">
        <v>76</v>
      </c>
      <c r="E109" s="34">
        <v>32.19</v>
      </c>
      <c r="F109" s="34">
        <v>32.19</v>
      </c>
      <c r="G109" s="34">
        <v>32.19</v>
      </c>
      <c r="H109" s="263">
        <v>32.19</v>
      </c>
      <c r="I109" s="34">
        <v>32.19</v>
      </c>
      <c r="J109" s="279">
        <f>'Uniformes e Equiptos'!H29</f>
        <v>35.409999999999997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370" t="s">
        <v>156</v>
      </c>
      <c r="B111" s="371"/>
      <c r="C111" s="372"/>
      <c r="D111" s="50" t="s">
        <v>76</v>
      </c>
      <c r="E111" s="35">
        <v>49.19</v>
      </c>
      <c r="F111" s="35">
        <v>49.19</v>
      </c>
      <c r="G111" s="35">
        <v>49.19</v>
      </c>
      <c r="H111" s="35">
        <v>49.19</v>
      </c>
      <c r="I111" s="35">
        <f>ROUND(SUM(I108:I110),2)</f>
        <v>49.19</v>
      </c>
      <c r="J111" s="35">
        <f>ROUND(SUM(J108:J110),2)</f>
        <v>54.13</v>
      </c>
      <c r="K111" s="9"/>
      <c r="L111" s="9"/>
      <c r="N111" s="9"/>
      <c r="O111" s="9"/>
      <c r="P111" s="9"/>
    </row>
    <row r="113" spans="1:16" s="137" customFormat="1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112.14</v>
      </c>
      <c r="F115" s="34">
        <v>116.05</v>
      </c>
      <c r="G115" s="34">
        <v>115.83</v>
      </c>
      <c r="H115" s="263">
        <v>122.55</v>
      </c>
      <c r="I115" s="34">
        <v>122.64</v>
      </c>
      <c r="J115" s="34">
        <f>ROUND(J130*D115,2)</f>
        <v>135.58000000000001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39.270000000000003</v>
      </c>
      <c r="F116" s="34">
        <v>40.64</v>
      </c>
      <c r="G116" s="34">
        <v>40.56</v>
      </c>
      <c r="H116" s="263">
        <v>42.92</v>
      </c>
      <c r="I116" s="34">
        <v>42.95</v>
      </c>
      <c r="J116" s="34">
        <f>ROUND((J130+J115)*D116,2)</f>
        <v>47.48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26.94</v>
      </c>
      <c r="F118" s="34">
        <v>27.88</v>
      </c>
      <c r="G118" s="34">
        <v>27.82</v>
      </c>
      <c r="H118" s="263">
        <v>29.44</v>
      </c>
      <c r="I118" s="34">
        <v>29.46</v>
      </c>
      <c r="J118" s="34">
        <f>ROUND((($J$130+$J$115+$J$116)/(1-($D$118+$D$119+$D$120)))*D118,2)</f>
        <v>32.57</v>
      </c>
      <c r="K118" s="364"/>
      <c r="L118" s="365"/>
      <c r="N118" s="9"/>
      <c r="O118" s="9"/>
      <c r="P118" s="9"/>
    </row>
    <row r="119" spans="1:16" s="137" customFormat="1" x14ac:dyDescent="0.2">
      <c r="A119" s="32" t="s">
        <v>108</v>
      </c>
      <c r="B119" s="366" t="s">
        <v>14</v>
      </c>
      <c r="C119" s="367"/>
      <c r="D119" s="51">
        <v>0.03</v>
      </c>
      <c r="E119" s="34">
        <v>124.32</v>
      </c>
      <c r="F119" s="34">
        <v>128.66999999999999</v>
      </c>
      <c r="G119" s="34">
        <v>128.41999999999999</v>
      </c>
      <c r="H119" s="263">
        <v>135.87</v>
      </c>
      <c r="I119" s="34">
        <v>135.97</v>
      </c>
      <c r="J119" s="34">
        <f>ROUND((($J$130+$J$115+$J$116)/(1-($D$118+$D$119+$D$120)))*D119,2)</f>
        <v>150.31</v>
      </c>
      <c r="K119" s="364"/>
      <c r="L119" s="365"/>
      <c r="N119" s="9"/>
      <c r="O119" s="9"/>
      <c r="P119" s="9"/>
    </row>
    <row r="120" spans="1:16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103.6</v>
      </c>
      <c r="F120" s="34">
        <v>107.22</v>
      </c>
      <c r="G120" s="34">
        <v>107.01</v>
      </c>
      <c r="H120" s="263">
        <v>113.23</v>
      </c>
      <c r="I120" s="34">
        <v>113.31</v>
      </c>
      <c r="J120" s="34">
        <f>ROUND((($J$130+$J$115+$J$116)/(1-($D$118+$D$119+$D$120)))*D120,2)</f>
        <v>125.26</v>
      </c>
    </row>
    <row r="121" spans="1:16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406.27</v>
      </c>
      <c r="F121" s="31">
        <v>420.46000000000004</v>
      </c>
      <c r="G121" s="31">
        <v>419.64</v>
      </c>
      <c r="H121" s="31">
        <v>444.01</v>
      </c>
      <c r="I121" s="31">
        <f>SUM(I115:I120)</f>
        <v>444.33</v>
      </c>
      <c r="J121" s="31">
        <f>SUM(J115:J120)</f>
        <v>491.2</v>
      </c>
    </row>
    <row r="123" spans="1:16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6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376" t="s">
        <v>65</v>
      </c>
      <c r="C125" s="376"/>
      <c r="D125" s="376"/>
      <c r="E125" s="25">
        <v>1901.07</v>
      </c>
      <c r="F125" s="25">
        <v>1970.41</v>
      </c>
      <c r="G125" s="25">
        <v>1970.41</v>
      </c>
      <c r="H125" s="257">
        <v>2088.87</v>
      </c>
      <c r="I125" s="25">
        <v>2088.87</v>
      </c>
      <c r="J125" s="25">
        <f>J39</f>
        <v>2317.11</v>
      </c>
    </row>
    <row r="126" spans="1:16" x14ac:dyDescent="0.2">
      <c r="A126" s="136" t="s">
        <v>1</v>
      </c>
      <c r="B126" s="376" t="s">
        <v>68</v>
      </c>
      <c r="C126" s="376"/>
      <c r="D126" s="376"/>
      <c r="E126" s="25">
        <v>1372.73</v>
      </c>
      <c r="F126" s="25">
        <v>1418.82</v>
      </c>
      <c r="G126" s="25">
        <v>1430.82</v>
      </c>
      <c r="H126" s="257">
        <v>1511.8</v>
      </c>
      <c r="I126" s="25">
        <v>1514.8</v>
      </c>
      <c r="J126" s="25">
        <f>J69</f>
        <v>1665.27</v>
      </c>
    </row>
    <row r="127" spans="1:16" x14ac:dyDescent="0.2">
      <c r="A127" s="136" t="s">
        <v>2</v>
      </c>
      <c r="B127" s="376" t="s">
        <v>84</v>
      </c>
      <c r="C127" s="376"/>
      <c r="D127" s="376"/>
      <c r="E127" s="25">
        <v>106.7</v>
      </c>
      <c r="F127" s="25">
        <v>110.59</v>
      </c>
      <c r="G127" s="25">
        <v>91.09</v>
      </c>
      <c r="H127" s="257">
        <v>96.56</v>
      </c>
      <c r="I127" s="25">
        <v>96.56</v>
      </c>
      <c r="J127" s="25">
        <f>J79</f>
        <v>107.11</v>
      </c>
    </row>
    <row r="128" spans="1:16" x14ac:dyDescent="0.2">
      <c r="A128" s="56" t="s">
        <v>3</v>
      </c>
      <c r="B128" s="376" t="s">
        <v>92</v>
      </c>
      <c r="C128" s="376"/>
      <c r="D128" s="376"/>
      <c r="E128" s="25">
        <v>308.14999999999998</v>
      </c>
      <c r="F128" s="25">
        <v>319.39</v>
      </c>
      <c r="G128" s="25">
        <v>319.39</v>
      </c>
      <c r="H128" s="257">
        <v>338.58</v>
      </c>
      <c r="I128" s="25">
        <v>338.58</v>
      </c>
      <c r="J128" s="25">
        <f>J104</f>
        <v>375.59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49.19</v>
      </c>
      <c r="F129" s="58">
        <v>49.19</v>
      </c>
      <c r="G129" s="58">
        <v>49.19</v>
      </c>
      <c r="H129" s="265">
        <v>49.19</v>
      </c>
      <c r="I129" s="58">
        <v>49.19</v>
      </c>
      <c r="J129" s="58">
        <f>J111</f>
        <v>54.13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3737.84</v>
      </c>
      <c r="F130" s="60">
        <v>3868.4</v>
      </c>
      <c r="G130" s="60">
        <v>3860.9</v>
      </c>
      <c r="H130" s="60">
        <v>4085</v>
      </c>
      <c r="I130" s="60">
        <v>4088</v>
      </c>
      <c r="J130" s="60">
        <f>SUM(J125:J129)</f>
        <v>4519.21</v>
      </c>
    </row>
    <row r="131" spans="1:12" x14ac:dyDescent="0.2">
      <c r="A131" s="136" t="s">
        <v>5</v>
      </c>
      <c r="B131" s="376" t="s">
        <v>105</v>
      </c>
      <c r="C131" s="376"/>
      <c r="D131" s="376"/>
      <c r="E131" s="25">
        <v>406.27</v>
      </c>
      <c r="F131" s="25">
        <v>420.46000000000004</v>
      </c>
      <c r="G131" s="25">
        <v>419.64</v>
      </c>
      <c r="H131" s="257">
        <v>444.01</v>
      </c>
      <c r="I131" s="25">
        <v>444.33</v>
      </c>
      <c r="J131" s="25">
        <f>J121</f>
        <v>491.2</v>
      </c>
    </row>
    <row r="132" spans="1:12" x14ac:dyDescent="0.2">
      <c r="A132" s="369" t="s">
        <v>113</v>
      </c>
      <c r="B132" s="369"/>
      <c r="C132" s="369"/>
      <c r="D132" s="369"/>
      <c r="E132" s="119">
        <v>4144.1099999999997</v>
      </c>
      <c r="F132" s="119">
        <v>4288.8599999999997</v>
      </c>
      <c r="G132" s="119">
        <v>4280.54</v>
      </c>
      <c r="H132" s="119">
        <v>4529.01</v>
      </c>
      <c r="I132" s="119">
        <v>4532.33</v>
      </c>
      <c r="J132" s="119">
        <f>ROUND(SUM(J130:J131),2)</f>
        <v>5010.41</v>
      </c>
    </row>
    <row r="133" spans="1:12" x14ac:dyDescent="0.2">
      <c r="A133" s="380" t="s">
        <v>140</v>
      </c>
      <c r="B133" s="380"/>
      <c r="C133" s="380"/>
      <c r="D133" s="380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368" t="s">
        <v>141</v>
      </c>
      <c r="B134" s="368"/>
      <c r="C134" s="368"/>
      <c r="D134" s="368"/>
      <c r="E134" s="233">
        <v>8288.2199999999993</v>
      </c>
      <c r="F134" s="233">
        <v>8577.7199999999993</v>
      </c>
      <c r="G134" s="111">
        <v>8561.08</v>
      </c>
      <c r="H134" s="111">
        <v>9058.02</v>
      </c>
      <c r="I134" s="111">
        <f>ROUND(I132*I133,2)</f>
        <v>9064.66</v>
      </c>
      <c r="J134" s="111">
        <f>ROUND(J132*J133,2)</f>
        <v>10020.82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theme="3"/>
  </sheetPr>
  <dimension ref="A1:P134"/>
  <sheetViews>
    <sheetView view="pageBreakPreview" topLeftCell="A76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34"/>
      <c r="B2" s="134"/>
      <c r="C2" s="134"/>
      <c r="D2" s="134"/>
      <c r="E2" s="226"/>
      <c r="F2" s="237"/>
      <c r="G2" s="248"/>
      <c r="H2" s="248"/>
      <c r="I2" s="252"/>
      <c r="J2" s="134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35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ht="38.25" x14ac:dyDescent="0.2">
      <c r="A16" s="387" t="s">
        <v>145</v>
      </c>
      <c r="B16" s="387"/>
      <c r="C16" s="136" t="s">
        <v>191</v>
      </c>
      <c r="D16" s="387">
        <v>2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15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2</v>
      </c>
      <c r="F28" s="188">
        <v>2</v>
      </c>
      <c r="G28" s="188">
        <v>2</v>
      </c>
      <c r="H28" s="261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24</v>
      </c>
      <c r="C32" s="367"/>
      <c r="D32" s="33"/>
      <c r="E32" s="34">
        <v>1447.6</v>
      </c>
      <c r="F32" s="263">
        <v>1500.4</v>
      </c>
      <c r="G32" s="263">
        <v>1500.4</v>
      </c>
      <c r="H32" s="263">
        <v>1590.6</v>
      </c>
      <c r="I32" s="263">
        <v>1590.6</v>
      </c>
      <c r="J32" s="276">
        <f>J21</f>
        <v>1764.4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434.28</v>
      </c>
      <c r="F33" s="34">
        <v>450.12</v>
      </c>
      <c r="G33" s="34">
        <v>450.12</v>
      </c>
      <c r="H33" s="263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16.45</v>
      </c>
      <c r="F34" s="34">
        <v>17.05</v>
      </c>
      <c r="G34" s="34">
        <v>17.05</v>
      </c>
      <c r="H34" s="263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301</v>
      </c>
      <c r="C35" s="367"/>
      <c r="D35" s="33"/>
      <c r="E35" s="34">
        <v>179.63</v>
      </c>
      <c r="F35" s="34">
        <v>186.19</v>
      </c>
      <c r="G35" s="34">
        <v>186.19</v>
      </c>
      <c r="H35" s="263">
        <v>197.38</v>
      </c>
      <c r="I35" s="34">
        <v>197.38</v>
      </c>
      <c r="J35" s="34">
        <f>ROUND(((J32+J33)/220)*105*0.2,2)</f>
        <v>218.95</v>
      </c>
      <c r="L35" s="170"/>
      <c r="M35" s="170"/>
    </row>
    <row r="36" spans="1:14" ht="56.25" customHeight="1" x14ac:dyDescent="0.2">
      <c r="A36" s="32" t="s">
        <v>4</v>
      </c>
      <c r="B36" s="366" t="s">
        <v>302</v>
      </c>
      <c r="C36" s="367"/>
      <c r="D36" s="33"/>
      <c r="E36" s="34">
        <v>230.96</v>
      </c>
      <c r="F36" s="34">
        <v>239.38</v>
      </c>
      <c r="G36" s="34">
        <v>239.38</v>
      </c>
      <c r="H36" s="263">
        <v>253.77</v>
      </c>
      <c r="I36" s="34">
        <v>253.77</v>
      </c>
      <c r="J36" s="34">
        <f>ROUND(((J32+J33)/220)*(105/52.5*7.5)*1.5*1.2,2)</f>
        <v>281.5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71.19</v>
      </c>
      <c r="F37" s="34">
        <v>73.78</v>
      </c>
      <c r="G37" s="34">
        <v>73.78</v>
      </c>
      <c r="H37" s="263">
        <v>78.22</v>
      </c>
      <c r="I37" s="34">
        <v>78.22</v>
      </c>
      <c r="J37" s="34">
        <f>ROUND((J34+J35+J36)*16.67%,2)</f>
        <v>86.77</v>
      </c>
      <c r="K37" s="170">
        <f>ROUND((J34)*16.67%,2)</f>
        <v>3.34</v>
      </c>
      <c r="M37" s="9"/>
    </row>
    <row r="38" spans="1:14" x14ac:dyDescent="0.2">
      <c r="A38" s="32" t="s">
        <v>6</v>
      </c>
      <c r="B38" s="366" t="s">
        <v>216</v>
      </c>
      <c r="C38" s="367"/>
      <c r="D38" s="33"/>
      <c r="E38" s="34">
        <v>0</v>
      </c>
      <c r="F38" s="34">
        <v>0</v>
      </c>
      <c r="G38" s="34">
        <v>0</v>
      </c>
      <c r="H38" s="263">
        <v>0</v>
      </c>
      <c r="I38" s="34">
        <v>0</v>
      </c>
      <c r="J38" s="34">
        <v>0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2380.11</v>
      </c>
      <c r="F39" s="31">
        <v>2466.92</v>
      </c>
      <c r="G39" s="35">
        <v>2466.92</v>
      </c>
      <c r="H39" s="35">
        <v>2615.23</v>
      </c>
      <c r="I39" s="35">
        <f>ROUND(SUM(I32:I38),2)</f>
        <v>2615.23</v>
      </c>
      <c r="J39" s="35">
        <f>ROUND(SUM(J32:J38),2)</f>
        <v>2900.99</v>
      </c>
      <c r="K39" s="35">
        <f>ROUND(SUM(J32:J38),2)-J34-K37</f>
        <v>2877.5999999999995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196.66</v>
      </c>
      <c r="F43" s="34">
        <v>203.84</v>
      </c>
      <c r="G43" s="34">
        <v>203.84</v>
      </c>
      <c r="H43" s="263">
        <v>216.09</v>
      </c>
      <c r="I43" s="34">
        <v>216.09</v>
      </c>
      <c r="J43" s="34">
        <f>ROUND(D43*$K$39,2)</f>
        <v>239.7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285.67</v>
      </c>
      <c r="F44" s="34">
        <v>296.08999999999997</v>
      </c>
      <c r="G44" s="34">
        <v>296.08999999999997</v>
      </c>
      <c r="H44" s="263">
        <v>313.89</v>
      </c>
      <c r="I44" s="34">
        <v>313.89</v>
      </c>
      <c r="J44" s="34">
        <f>ROUND(D44*$K$39,2)</f>
        <v>348.19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482.33</v>
      </c>
      <c r="F45" s="35">
        <v>499.93</v>
      </c>
      <c r="G45" s="35">
        <v>499.93</v>
      </c>
      <c r="H45" s="35">
        <v>529.98</v>
      </c>
      <c r="I45" s="35">
        <f>ROUND(SUM(I43:I44),2)</f>
        <v>529.98</v>
      </c>
      <c r="J45" s="35">
        <f>ROUND(SUM(J43:J44),2)</f>
        <v>587.89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472.18</v>
      </c>
      <c r="F48" s="34">
        <v>489.41</v>
      </c>
      <c r="G48" s="34">
        <v>489.41</v>
      </c>
      <c r="H48" s="263">
        <v>518.83000000000004</v>
      </c>
      <c r="I48" s="34">
        <v>518.83000000000004</v>
      </c>
      <c r="J48" s="34">
        <f t="shared" ref="J48:J55" si="0">ROUND(D48*($K$39),2)</f>
        <v>575.52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59.02</v>
      </c>
      <c r="F49" s="34">
        <v>61.18</v>
      </c>
      <c r="G49" s="34">
        <v>61.18</v>
      </c>
      <c r="H49" s="263">
        <v>64.849999999999994</v>
      </c>
      <c r="I49" s="34">
        <v>64.849999999999994</v>
      </c>
      <c r="J49" s="34">
        <f t="shared" si="0"/>
        <v>71.94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96.33</v>
      </c>
      <c r="F50" s="34">
        <v>99.84</v>
      </c>
      <c r="G50" s="34">
        <v>99.84</v>
      </c>
      <c r="H50" s="263">
        <v>105.84</v>
      </c>
      <c r="I50" s="34">
        <v>105.84</v>
      </c>
      <c r="J50" s="34">
        <f t="shared" si="0"/>
        <v>117.41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35.409999999999997</v>
      </c>
      <c r="F51" s="34">
        <v>36.71</v>
      </c>
      <c r="G51" s="34">
        <v>36.71</v>
      </c>
      <c r="H51" s="263">
        <v>38.909999999999997</v>
      </c>
      <c r="I51" s="34">
        <v>38.909999999999997</v>
      </c>
      <c r="J51" s="34">
        <f t="shared" si="0"/>
        <v>43.16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23.61</v>
      </c>
      <c r="F52" s="34">
        <v>24.47</v>
      </c>
      <c r="G52" s="34">
        <v>24.47</v>
      </c>
      <c r="H52" s="263">
        <v>25.94</v>
      </c>
      <c r="I52" s="34">
        <v>25.94</v>
      </c>
      <c r="J52" s="34">
        <f t="shared" si="0"/>
        <v>28.78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14.17</v>
      </c>
      <c r="F53" s="34">
        <v>14.68</v>
      </c>
      <c r="G53" s="34">
        <v>14.68</v>
      </c>
      <c r="H53" s="263">
        <v>15.56</v>
      </c>
      <c r="I53" s="34">
        <v>15.56</v>
      </c>
      <c r="J53" s="34">
        <f t="shared" si="0"/>
        <v>17.27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4.72</v>
      </c>
      <c r="F54" s="34">
        <v>4.8899999999999997</v>
      </c>
      <c r="G54" s="34">
        <v>4.8899999999999997</v>
      </c>
      <c r="H54" s="263">
        <v>5.19</v>
      </c>
      <c r="I54" s="34">
        <v>5.19</v>
      </c>
      <c r="J54" s="34">
        <f t="shared" si="0"/>
        <v>5.76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188.87</v>
      </c>
      <c r="F55" s="34">
        <v>195.76</v>
      </c>
      <c r="G55" s="34">
        <v>195.76</v>
      </c>
      <c r="H55" s="263">
        <v>207.53</v>
      </c>
      <c r="I55" s="34">
        <v>207.53</v>
      </c>
      <c r="J55" s="34">
        <f t="shared" si="0"/>
        <v>230.21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894.31</v>
      </c>
      <c r="F56" s="35">
        <v>926.94</v>
      </c>
      <c r="G56" s="35">
        <v>926.94</v>
      </c>
      <c r="H56" s="35">
        <v>982.65</v>
      </c>
      <c r="I56" s="35">
        <f>ROUND(SUM(I48:I55),2)</f>
        <v>982.65</v>
      </c>
      <c r="J56" s="35">
        <f>ROUND(SUM(J48:J55),2)</f>
        <v>1090.05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42.14</v>
      </c>
      <c r="F59" s="34">
        <v>38.979999999999997</v>
      </c>
      <c r="G59" s="34">
        <v>50.98</v>
      </c>
      <c r="H59" s="263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367"/>
      <c r="D60" s="38" t="s">
        <v>76</v>
      </c>
      <c r="E60" s="34">
        <v>230.76</v>
      </c>
      <c r="F60" s="263">
        <v>240</v>
      </c>
      <c r="G60" s="263">
        <v>240</v>
      </c>
      <c r="H60" s="263">
        <v>258</v>
      </c>
      <c r="I60" s="263">
        <v>258</v>
      </c>
      <c r="J60" s="276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376" t="s">
        <v>80</v>
      </c>
      <c r="C66" s="376"/>
      <c r="D66" s="376"/>
      <c r="E66" s="228">
        <v>482.33</v>
      </c>
      <c r="F66" s="25">
        <v>499.93</v>
      </c>
      <c r="G66" s="25">
        <v>499.93</v>
      </c>
      <c r="H66" s="257">
        <v>529.98</v>
      </c>
      <c r="I66" s="25">
        <v>529.98</v>
      </c>
      <c r="J66" s="25">
        <f>J45</f>
        <v>587.89</v>
      </c>
    </row>
    <row r="67" spans="1:10" x14ac:dyDescent="0.2">
      <c r="A67" s="135" t="s">
        <v>81</v>
      </c>
      <c r="B67" s="376" t="s">
        <v>82</v>
      </c>
      <c r="C67" s="376"/>
      <c r="D67" s="376"/>
      <c r="E67" s="228">
        <v>894.31</v>
      </c>
      <c r="F67" s="25">
        <v>926.94</v>
      </c>
      <c r="G67" s="25">
        <v>926.94</v>
      </c>
      <c r="H67" s="257">
        <v>982.65</v>
      </c>
      <c r="I67" s="25">
        <v>982.65</v>
      </c>
      <c r="J67" s="25">
        <f>J56</f>
        <v>1090.05</v>
      </c>
    </row>
    <row r="68" spans="1:10" x14ac:dyDescent="0.2">
      <c r="A68" s="135" t="s">
        <v>83</v>
      </c>
      <c r="B68" s="376" t="s">
        <v>25</v>
      </c>
      <c r="C68" s="376"/>
      <c r="D68" s="376"/>
      <c r="E68" s="228">
        <v>275.39999999999998</v>
      </c>
      <c r="F68" s="25">
        <v>281.48</v>
      </c>
      <c r="G68" s="25">
        <v>293.48</v>
      </c>
      <c r="H68" s="257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1652.04</v>
      </c>
      <c r="F69" s="128">
        <v>1708.35</v>
      </c>
      <c r="G69" s="35">
        <v>1720.35</v>
      </c>
      <c r="H69" s="35">
        <v>1818.69</v>
      </c>
      <c r="I69" s="35">
        <f>ROUND(SUM(I66:I68),2)</f>
        <v>1821.69</v>
      </c>
      <c r="J69" s="35">
        <f>ROUND(SUM(J66:J68),2)</f>
        <v>2005.74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9.92</v>
      </c>
      <c r="F73" s="34">
        <v>10.28</v>
      </c>
      <c r="G73" s="34">
        <v>10.28</v>
      </c>
      <c r="H73" s="263">
        <v>10.9</v>
      </c>
      <c r="I73" s="34">
        <v>10.9</v>
      </c>
      <c r="J73" s="34">
        <f t="shared" ref="J73:J78" si="1">ROUND(D73*$K$39,2)</f>
        <v>12.09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0.71</v>
      </c>
      <c r="F74" s="34">
        <v>0.73</v>
      </c>
      <c r="G74" s="34">
        <v>0.73</v>
      </c>
      <c r="H74" s="263">
        <v>0.78</v>
      </c>
      <c r="I74" s="34">
        <v>0.78</v>
      </c>
      <c r="J74" s="34">
        <f t="shared" si="1"/>
        <v>0.86</v>
      </c>
    </row>
    <row r="75" spans="1:10" ht="25.5" customHeight="1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5.67</v>
      </c>
      <c r="F75" s="34">
        <v>5.87</v>
      </c>
      <c r="G75" s="34">
        <v>4.7</v>
      </c>
      <c r="H75" s="263">
        <v>4.9800000000000004</v>
      </c>
      <c r="I75" s="34">
        <v>4.9800000000000004</v>
      </c>
      <c r="J75" s="34">
        <f t="shared" si="1"/>
        <v>5.52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3.78</v>
      </c>
      <c r="F76" s="34">
        <v>3.92</v>
      </c>
      <c r="G76" s="34">
        <v>3.92</v>
      </c>
      <c r="H76" s="263">
        <v>4.1500000000000004</v>
      </c>
      <c r="I76" s="34">
        <v>4.1500000000000004</v>
      </c>
      <c r="J76" s="34">
        <f t="shared" si="1"/>
        <v>4.5999999999999996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1.42</v>
      </c>
      <c r="F77" s="34">
        <v>1.47</v>
      </c>
      <c r="G77" s="34">
        <v>1.47</v>
      </c>
      <c r="H77" s="263">
        <v>1.56</v>
      </c>
      <c r="I77" s="34">
        <v>1.56</v>
      </c>
      <c r="J77" s="34">
        <f t="shared" si="1"/>
        <v>1.73</v>
      </c>
    </row>
    <row r="78" spans="1:10" ht="25.5" customHeight="1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112.38</v>
      </c>
      <c r="F78" s="34">
        <v>116.48</v>
      </c>
      <c r="G78" s="34">
        <v>93.18</v>
      </c>
      <c r="H78" s="263">
        <v>98.78</v>
      </c>
      <c r="I78" s="34">
        <v>98.78</v>
      </c>
      <c r="J78" s="34">
        <f t="shared" si="1"/>
        <v>109.58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133.88</v>
      </c>
      <c r="F79" s="35">
        <v>138.75</v>
      </c>
      <c r="G79" s="35">
        <v>114.28</v>
      </c>
      <c r="H79" s="35">
        <v>121.15</v>
      </c>
      <c r="I79" s="35">
        <f>ROUND(SUM(I73:I78),2)</f>
        <v>121.15</v>
      </c>
      <c r="J79" s="35">
        <f>ROUND(SUM(J73:J78),2)</f>
        <v>134.38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23.85</v>
      </c>
      <c r="F83" s="34">
        <v>24.72</v>
      </c>
      <c r="G83" s="34">
        <v>24.72</v>
      </c>
      <c r="H83" s="263">
        <v>26.2</v>
      </c>
      <c r="I83" s="34">
        <v>26.2</v>
      </c>
      <c r="J83" s="34">
        <f t="shared" ref="J83:J88" si="2">ROUND(D83*$K$39,2)</f>
        <v>29.06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13.22</v>
      </c>
      <c r="F84" s="34">
        <v>13.7</v>
      </c>
      <c r="G84" s="34">
        <v>13.7</v>
      </c>
      <c r="H84" s="263">
        <v>14.53</v>
      </c>
      <c r="I84" s="34">
        <v>14.53</v>
      </c>
      <c r="J84" s="34">
        <f t="shared" si="2"/>
        <v>16.11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32.82</v>
      </c>
      <c r="F85" s="34">
        <v>34.01</v>
      </c>
      <c r="G85" s="34">
        <v>34.01</v>
      </c>
      <c r="H85" s="263">
        <v>36.06</v>
      </c>
      <c r="I85" s="34">
        <v>36.06</v>
      </c>
      <c r="J85" s="34">
        <f t="shared" si="2"/>
        <v>40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4.01</v>
      </c>
      <c r="F86" s="34">
        <v>4.16</v>
      </c>
      <c r="G86" s="34">
        <v>4.16</v>
      </c>
      <c r="H86" s="263">
        <v>4.41</v>
      </c>
      <c r="I86" s="34">
        <v>4.41</v>
      </c>
      <c r="J86" s="34">
        <f t="shared" si="2"/>
        <v>4.8899999999999997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4.96</v>
      </c>
      <c r="F87" s="34">
        <v>5.14</v>
      </c>
      <c r="G87" s="34">
        <v>5.14</v>
      </c>
      <c r="H87" s="263">
        <v>5.45</v>
      </c>
      <c r="I87" s="34">
        <v>5.45</v>
      </c>
      <c r="J87" s="34">
        <f t="shared" si="2"/>
        <v>6.04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1.65</v>
      </c>
      <c r="F88" s="34">
        <v>1.71</v>
      </c>
      <c r="G88" s="34">
        <v>1.71</v>
      </c>
      <c r="H88" s="263">
        <v>1.82</v>
      </c>
      <c r="I88" s="34">
        <v>1.82</v>
      </c>
      <c r="J88" s="34">
        <f t="shared" si="2"/>
        <v>2.0099999999999998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80.510000000000005</v>
      </c>
      <c r="F89" s="35">
        <v>83.44</v>
      </c>
      <c r="G89" s="35">
        <v>83.44</v>
      </c>
      <c r="H89" s="35">
        <v>88.47</v>
      </c>
      <c r="I89" s="35">
        <f>ROUND(SUM(I83:I88),2)</f>
        <v>88.47</v>
      </c>
      <c r="J89" s="35">
        <f>ROUND(SUM(J83:J88),2)</f>
        <v>98.11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213.21</v>
      </c>
      <c r="F92" s="34">
        <v>220.98</v>
      </c>
      <c r="G92" s="34">
        <v>220.98</v>
      </c>
      <c r="H92" s="263">
        <v>234.27</v>
      </c>
      <c r="I92" s="34">
        <v>234.27</v>
      </c>
      <c r="J92" s="34">
        <f>ROUND(D92*$K$39,2)</f>
        <v>259.86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213.21</v>
      </c>
      <c r="F93" s="128">
        <v>220.98</v>
      </c>
      <c r="G93" s="128">
        <v>220.98</v>
      </c>
      <c r="H93" s="128">
        <v>234.27</v>
      </c>
      <c r="I93" s="128">
        <f>ROUND(SUM(I92:I92),2)</f>
        <v>234.27</v>
      </c>
      <c r="J93" s="128">
        <f>ROUND(SUM(J92:J92),2)</f>
        <v>259.86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74.03</v>
      </c>
      <c r="F96" s="34">
        <v>76.73</v>
      </c>
      <c r="G96" s="34">
        <v>76.73</v>
      </c>
      <c r="H96" s="263">
        <v>81.34</v>
      </c>
      <c r="I96" s="34">
        <f>ROUND((I21/220)*M16*1.5*0.25,2)</f>
        <v>40.67</v>
      </c>
      <c r="J96" s="34">
        <f>ROUND((J21/220)*M16*1.5*0.5,2)</f>
        <v>90.23</v>
      </c>
    </row>
    <row r="97" spans="1:16" ht="12.75" customHeight="1" x14ac:dyDescent="0.2">
      <c r="A97" s="370" t="s">
        <v>156</v>
      </c>
      <c r="B97" s="371"/>
      <c r="C97" s="371"/>
      <c r="D97" s="372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6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6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6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376" t="s">
        <v>95</v>
      </c>
      <c r="C102" s="376"/>
      <c r="D102" s="376"/>
      <c r="E102" s="25">
        <v>293.72000000000003</v>
      </c>
      <c r="F102" s="25">
        <v>304.42</v>
      </c>
      <c r="G102" s="25">
        <v>304.42</v>
      </c>
      <c r="H102" s="257">
        <v>322.74</v>
      </c>
      <c r="I102" s="25">
        <v>322.74</v>
      </c>
      <c r="J102" s="25">
        <f>ROUND(J89+J93,2)</f>
        <v>357.97</v>
      </c>
    </row>
    <row r="103" spans="1:16" x14ac:dyDescent="0.2">
      <c r="A103" s="48" t="s">
        <v>27</v>
      </c>
      <c r="B103" s="376" t="s">
        <v>101</v>
      </c>
      <c r="C103" s="376"/>
      <c r="D103" s="376"/>
      <c r="E103" s="25">
        <v>74.03</v>
      </c>
      <c r="F103" s="25">
        <v>76.73</v>
      </c>
      <c r="G103" s="25">
        <v>76.73</v>
      </c>
      <c r="H103" s="257">
        <v>81.34</v>
      </c>
      <c r="I103" s="25">
        <f>I97</f>
        <v>40.67</v>
      </c>
      <c r="J103" s="25">
        <f>J97</f>
        <v>90.23</v>
      </c>
    </row>
    <row r="104" spans="1:16" s="137" customFormat="1" ht="12.75" customHeight="1" x14ac:dyDescent="0.2">
      <c r="A104" s="369" t="s">
        <v>102</v>
      </c>
      <c r="B104" s="369"/>
      <c r="C104" s="369"/>
      <c r="D104" s="369"/>
      <c r="E104" s="35">
        <v>367.75</v>
      </c>
      <c r="F104" s="35">
        <v>381.15</v>
      </c>
      <c r="G104" s="35">
        <v>381.15</v>
      </c>
      <c r="H104" s="35">
        <v>404.08</v>
      </c>
      <c r="I104" s="35">
        <f>ROUND(SUM(I102:I103),2)</f>
        <v>363.41</v>
      </c>
      <c r="J104" s="35">
        <f>ROUND(SUM(J102:J103),2)</f>
        <v>448.2</v>
      </c>
      <c r="K104" s="9"/>
      <c r="L104" s="9"/>
      <c r="N104" s="9"/>
      <c r="O104" s="9"/>
      <c r="P104" s="9"/>
    </row>
    <row r="106" spans="1:16" s="137" customFormat="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366" t="s">
        <v>190</v>
      </c>
      <c r="C109" s="367"/>
      <c r="D109" s="38" t="s">
        <v>76</v>
      </c>
      <c r="E109" s="34">
        <v>32.19</v>
      </c>
      <c r="F109" s="34">
        <v>32.19</v>
      </c>
      <c r="G109" s="34">
        <v>32.19</v>
      </c>
      <c r="H109" s="263">
        <v>32.19</v>
      </c>
      <c r="I109" s="34">
        <v>32.19</v>
      </c>
      <c r="J109" s="279">
        <f>'Uniformes e Equiptos'!H29</f>
        <v>35.409999999999997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370" t="s">
        <v>156</v>
      </c>
      <c r="B111" s="371"/>
      <c r="C111" s="372"/>
      <c r="D111" s="50" t="s">
        <v>76</v>
      </c>
      <c r="E111" s="35">
        <v>49.19</v>
      </c>
      <c r="F111" s="35">
        <v>49.19</v>
      </c>
      <c r="G111" s="35">
        <v>49.19</v>
      </c>
      <c r="H111" s="35">
        <v>49.19</v>
      </c>
      <c r="I111" s="35">
        <f>ROUND(SUM(I108:I110),2)</f>
        <v>49.19</v>
      </c>
      <c r="J111" s="35">
        <f>ROUND(SUM(J108:J110),2)</f>
        <v>54.13</v>
      </c>
      <c r="K111" s="9"/>
      <c r="L111" s="9"/>
      <c r="N111" s="9"/>
      <c r="O111" s="9"/>
      <c r="P111" s="9"/>
    </row>
    <row r="113" spans="1:16" s="137" customFormat="1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137.49</v>
      </c>
      <c r="F115" s="34">
        <v>142.33000000000001</v>
      </c>
      <c r="G115" s="34">
        <v>141.96</v>
      </c>
      <c r="H115" s="263">
        <v>150.25</v>
      </c>
      <c r="I115" s="34">
        <v>150.34</v>
      </c>
      <c r="J115" s="34">
        <f>ROUND(J130*D115,2)</f>
        <v>166.3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48.15</v>
      </c>
      <c r="F116" s="34">
        <v>49.84</v>
      </c>
      <c r="G116" s="34">
        <v>49.71</v>
      </c>
      <c r="H116" s="263">
        <v>52.62</v>
      </c>
      <c r="I116" s="34">
        <v>52.65</v>
      </c>
      <c r="J116" s="34">
        <f>ROUND((J130+J115)*D116,2)</f>
        <v>58.24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33.03</v>
      </c>
      <c r="F118" s="34">
        <v>34.19</v>
      </c>
      <c r="G118" s="34">
        <v>34.1</v>
      </c>
      <c r="H118" s="263">
        <v>36.090000000000003</v>
      </c>
      <c r="I118" s="34">
        <v>36.11</v>
      </c>
      <c r="J118" s="34">
        <f>ROUND((($J$130+$J$115+$J$116)/(1-($D$118+$D$119+$D$120)))*D118,2)</f>
        <v>39.950000000000003</v>
      </c>
      <c r="K118" s="364"/>
      <c r="L118" s="365"/>
      <c r="N118" s="9"/>
      <c r="O118" s="9"/>
      <c r="P118" s="9"/>
    </row>
    <row r="119" spans="1:16" s="137" customFormat="1" x14ac:dyDescent="0.2">
      <c r="A119" s="32" t="s">
        <v>108</v>
      </c>
      <c r="B119" s="366" t="s">
        <v>14</v>
      </c>
      <c r="C119" s="367"/>
      <c r="D119" s="51">
        <v>0.03</v>
      </c>
      <c r="E119" s="34">
        <v>152.43</v>
      </c>
      <c r="F119" s="34">
        <v>157.80000000000001</v>
      </c>
      <c r="G119" s="34">
        <v>157.38999999999999</v>
      </c>
      <c r="H119" s="263">
        <v>166.58</v>
      </c>
      <c r="I119" s="34">
        <v>166.68</v>
      </c>
      <c r="J119" s="34">
        <f>ROUND((($J$130+$J$115+$J$116)/(1-($D$118+$D$119+$D$120)))*D119,2)</f>
        <v>184.38</v>
      </c>
      <c r="K119" s="364"/>
      <c r="L119" s="365"/>
      <c r="N119" s="9"/>
      <c r="O119" s="9"/>
      <c r="P119" s="9"/>
    </row>
    <row r="120" spans="1:16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127.03</v>
      </c>
      <c r="F120" s="34">
        <v>131.5</v>
      </c>
      <c r="G120" s="34">
        <v>131.16</v>
      </c>
      <c r="H120" s="263">
        <v>138.82</v>
      </c>
      <c r="I120" s="34">
        <v>138.9</v>
      </c>
      <c r="J120" s="34">
        <f>ROUND((($J$130+$J$115+$J$116)/(1-($D$118+$D$119+$D$120)))*D120,2)</f>
        <v>153.65</v>
      </c>
    </row>
    <row r="121" spans="1:16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498.13</v>
      </c>
      <c r="F121" s="31">
        <v>515.66000000000008</v>
      </c>
      <c r="G121" s="31">
        <v>514.31999999999994</v>
      </c>
      <c r="H121" s="31">
        <v>544.36</v>
      </c>
      <c r="I121" s="31">
        <f>SUM(I115:I120)</f>
        <v>544.68000000000006</v>
      </c>
      <c r="J121" s="31">
        <f>SUM(J115:J120)</f>
        <v>602.52</v>
      </c>
    </row>
    <row r="123" spans="1:16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6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376" t="s">
        <v>65</v>
      </c>
      <c r="C125" s="376"/>
      <c r="D125" s="376"/>
      <c r="E125" s="25">
        <v>2380.11</v>
      </c>
      <c r="F125" s="25">
        <v>2466.92</v>
      </c>
      <c r="G125" s="25">
        <v>2466.92</v>
      </c>
      <c r="H125" s="257">
        <v>2615.23</v>
      </c>
      <c r="I125" s="25">
        <v>2615.23</v>
      </c>
      <c r="J125" s="25">
        <f>J39</f>
        <v>2900.99</v>
      </c>
    </row>
    <row r="126" spans="1:16" x14ac:dyDescent="0.2">
      <c r="A126" s="136" t="s">
        <v>1</v>
      </c>
      <c r="B126" s="376" t="s">
        <v>68</v>
      </c>
      <c r="C126" s="376"/>
      <c r="D126" s="376"/>
      <c r="E126" s="25">
        <v>1652.04</v>
      </c>
      <c r="F126" s="25">
        <v>1708.35</v>
      </c>
      <c r="G126" s="25">
        <v>1720.35</v>
      </c>
      <c r="H126" s="257">
        <v>1818.69</v>
      </c>
      <c r="I126" s="25">
        <v>1821.69</v>
      </c>
      <c r="J126" s="25">
        <f>J69</f>
        <v>2005.74</v>
      </c>
    </row>
    <row r="127" spans="1:16" x14ac:dyDescent="0.2">
      <c r="A127" s="136" t="s">
        <v>2</v>
      </c>
      <c r="B127" s="376" t="s">
        <v>84</v>
      </c>
      <c r="C127" s="376"/>
      <c r="D127" s="376"/>
      <c r="E127" s="25">
        <v>133.88</v>
      </c>
      <c r="F127" s="25">
        <v>138.75</v>
      </c>
      <c r="G127" s="25">
        <v>114.28</v>
      </c>
      <c r="H127" s="257">
        <v>121.15</v>
      </c>
      <c r="I127" s="25">
        <v>121.15</v>
      </c>
      <c r="J127" s="25">
        <f>J79</f>
        <v>134.38</v>
      </c>
    </row>
    <row r="128" spans="1:16" x14ac:dyDescent="0.2">
      <c r="A128" s="56" t="s">
        <v>3</v>
      </c>
      <c r="B128" s="376" t="s">
        <v>92</v>
      </c>
      <c r="C128" s="376"/>
      <c r="D128" s="376"/>
      <c r="E128" s="25">
        <v>367.75</v>
      </c>
      <c r="F128" s="25">
        <v>381.15</v>
      </c>
      <c r="G128" s="25">
        <v>381.15</v>
      </c>
      <c r="H128" s="257">
        <v>404.08</v>
      </c>
      <c r="I128" s="25">
        <v>404.08</v>
      </c>
      <c r="J128" s="25">
        <f>J104</f>
        <v>448.2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49.19</v>
      </c>
      <c r="F129" s="58">
        <v>49.19</v>
      </c>
      <c r="G129" s="58">
        <v>49.19</v>
      </c>
      <c r="H129" s="265">
        <v>49.19</v>
      </c>
      <c r="I129" s="58">
        <v>49.19</v>
      </c>
      <c r="J129" s="58">
        <f>J111</f>
        <v>54.13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4582.9699999999993</v>
      </c>
      <c r="F130" s="60">
        <v>4744.3599999999997</v>
      </c>
      <c r="G130" s="60">
        <v>4731.8899999999994</v>
      </c>
      <c r="H130" s="60">
        <v>5008.3399999999992</v>
      </c>
      <c r="I130" s="60">
        <v>5011.3399999999992</v>
      </c>
      <c r="J130" s="60">
        <f>SUM(J125:J129)</f>
        <v>5543.44</v>
      </c>
    </row>
    <row r="131" spans="1:12" x14ac:dyDescent="0.2">
      <c r="A131" s="136" t="s">
        <v>5</v>
      </c>
      <c r="B131" s="376" t="s">
        <v>105</v>
      </c>
      <c r="C131" s="376"/>
      <c r="D131" s="376"/>
      <c r="E131" s="25">
        <v>498.13</v>
      </c>
      <c r="F131" s="25">
        <v>515.66000000000008</v>
      </c>
      <c r="G131" s="25">
        <v>514.31999999999994</v>
      </c>
      <c r="H131" s="257">
        <v>544.36</v>
      </c>
      <c r="I131" s="25">
        <v>544.68000000000006</v>
      </c>
      <c r="J131" s="25">
        <f>J121</f>
        <v>602.52</v>
      </c>
    </row>
    <row r="132" spans="1:12" x14ac:dyDescent="0.2">
      <c r="A132" s="369" t="s">
        <v>113</v>
      </c>
      <c r="B132" s="369"/>
      <c r="C132" s="369"/>
      <c r="D132" s="369"/>
      <c r="E132" s="119">
        <v>5081.1000000000004</v>
      </c>
      <c r="F132" s="119">
        <v>5260.02</v>
      </c>
      <c r="G132" s="119">
        <v>5246.21</v>
      </c>
      <c r="H132" s="119">
        <v>5552.7</v>
      </c>
      <c r="I132" s="119">
        <v>5556.02</v>
      </c>
      <c r="J132" s="119">
        <f>ROUND(SUM(J130:J131),2)</f>
        <v>6145.96</v>
      </c>
    </row>
    <row r="133" spans="1:12" x14ac:dyDescent="0.2">
      <c r="A133" s="380" t="s">
        <v>140</v>
      </c>
      <c r="B133" s="380"/>
      <c r="C133" s="380"/>
      <c r="D133" s="380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368" t="s">
        <v>141</v>
      </c>
      <c r="B134" s="368"/>
      <c r="C134" s="368"/>
      <c r="D134" s="368"/>
      <c r="E134" s="233">
        <v>10162.200000000001</v>
      </c>
      <c r="F134" s="233">
        <v>10520.04</v>
      </c>
      <c r="G134" s="111">
        <v>10492.42</v>
      </c>
      <c r="H134" s="111">
        <v>11105.4</v>
      </c>
      <c r="I134" s="111">
        <f>ROUND(I132*I133,2)</f>
        <v>11112.04</v>
      </c>
      <c r="J134" s="111">
        <f>ROUND(J132*J133,2)</f>
        <v>12291.92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256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388" t="s">
        <v>239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16" x14ac:dyDescent="0.2">
      <c r="A2" s="134"/>
      <c r="B2" s="134"/>
      <c r="C2" s="134"/>
      <c r="D2" s="134"/>
      <c r="E2" s="226"/>
      <c r="F2" s="237"/>
      <c r="G2" s="248"/>
      <c r="H2" s="248"/>
      <c r="I2" s="252"/>
      <c r="J2" s="134"/>
      <c r="N2" s="123"/>
    </row>
    <row r="3" spans="1:16" x14ac:dyDescent="0.2">
      <c r="A3" s="390" t="s">
        <v>240</v>
      </c>
      <c r="B3" s="391"/>
      <c r="C3" s="392"/>
      <c r="D3" s="393" t="s">
        <v>237</v>
      </c>
      <c r="E3" s="393"/>
      <c r="F3" s="393"/>
      <c r="G3" s="393"/>
      <c r="H3" s="393"/>
      <c r="I3" s="393"/>
      <c r="J3" s="393"/>
      <c r="L3" s="389"/>
      <c r="M3" s="389"/>
      <c r="N3" s="124"/>
    </row>
    <row r="4" spans="1:16" x14ac:dyDescent="0.2">
      <c r="A4" s="390" t="s">
        <v>241</v>
      </c>
      <c r="B4" s="391"/>
      <c r="C4" s="392"/>
      <c r="D4" s="394" t="s">
        <v>238</v>
      </c>
      <c r="E4" s="394"/>
      <c r="F4" s="394"/>
      <c r="G4" s="394"/>
      <c r="H4" s="394"/>
      <c r="I4" s="394"/>
      <c r="J4" s="394"/>
      <c r="L4" s="185"/>
      <c r="M4" s="186"/>
    </row>
    <row r="5" spans="1:16" x14ac:dyDescent="0.2">
      <c r="A5" s="390" t="s">
        <v>243</v>
      </c>
      <c r="B5" s="391"/>
      <c r="C5" s="391"/>
      <c r="D5" s="391"/>
      <c r="E5" s="391"/>
      <c r="F5" s="391"/>
      <c r="G5" s="391"/>
      <c r="H5" s="391"/>
      <c r="I5" s="391"/>
      <c r="J5" s="392"/>
      <c r="L5" s="185"/>
      <c r="M5" s="186"/>
      <c r="N5" s="124"/>
    </row>
    <row r="6" spans="1:16" x14ac:dyDescent="0.2">
      <c r="A6" s="390" t="s">
        <v>242</v>
      </c>
      <c r="B6" s="391"/>
      <c r="C6" s="391"/>
      <c r="D6" s="391"/>
      <c r="E6" s="391"/>
      <c r="F6" s="391"/>
      <c r="G6" s="391"/>
      <c r="H6" s="391"/>
      <c r="I6" s="391"/>
      <c r="J6" s="392"/>
      <c r="L6" s="185"/>
      <c r="M6" s="211"/>
    </row>
    <row r="7" spans="1:16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L7" s="185"/>
      <c r="M7" s="186"/>
      <c r="N7" s="10"/>
      <c r="P7" s="113"/>
    </row>
    <row r="8" spans="1:16" ht="12.75" customHeight="1" thickBot="1" x14ac:dyDescent="0.25">
      <c r="A8" s="381" t="s">
        <v>55</v>
      </c>
      <c r="B8" s="381"/>
      <c r="C8" s="381"/>
      <c r="D8" s="381"/>
      <c r="E8" s="381"/>
      <c r="F8" s="381"/>
      <c r="G8" s="381"/>
      <c r="H8" s="381"/>
      <c r="I8" s="381"/>
      <c r="J8" s="381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376" t="s">
        <v>56</v>
      </c>
      <c r="C9" s="376"/>
      <c r="D9" s="376"/>
      <c r="E9" s="227">
        <v>43284</v>
      </c>
      <c r="F9" s="236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376" t="s">
        <v>57</v>
      </c>
      <c r="C10" s="376"/>
      <c r="D10" s="376"/>
      <c r="E10" s="227" t="s">
        <v>213</v>
      </c>
      <c r="F10" s="236"/>
      <c r="G10" s="249" t="s">
        <v>213</v>
      </c>
      <c r="H10" s="249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376" t="s">
        <v>58</v>
      </c>
      <c r="C11" s="376"/>
      <c r="D11" s="376"/>
      <c r="E11" s="227" t="s">
        <v>212</v>
      </c>
      <c r="F11" s="236"/>
      <c r="G11" s="249" t="s">
        <v>212</v>
      </c>
      <c r="H11" s="249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376" t="s">
        <v>59</v>
      </c>
      <c r="C12" s="376"/>
      <c r="D12" s="376"/>
      <c r="E12" s="227" t="s">
        <v>60</v>
      </c>
      <c r="F12" s="236"/>
      <c r="G12" s="249" t="s">
        <v>60</v>
      </c>
      <c r="H12" s="249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381" t="s">
        <v>21</v>
      </c>
      <c r="B14" s="381"/>
      <c r="C14" s="381"/>
      <c r="D14" s="381"/>
      <c r="E14" s="381"/>
      <c r="F14" s="381"/>
      <c r="G14" s="381"/>
      <c r="H14" s="381"/>
      <c r="I14" s="381"/>
      <c r="J14" s="381"/>
      <c r="K14" s="11"/>
      <c r="L14" s="5" t="s">
        <v>32</v>
      </c>
      <c r="M14" s="66">
        <v>4.8</v>
      </c>
    </row>
    <row r="15" spans="1:16" s="20" customFormat="1" ht="36.75" customHeight="1" x14ac:dyDescent="0.2">
      <c r="A15" s="380" t="s">
        <v>22</v>
      </c>
      <c r="B15" s="380"/>
      <c r="C15" s="135" t="s">
        <v>23</v>
      </c>
      <c r="D15" s="380" t="s">
        <v>61</v>
      </c>
      <c r="E15" s="380"/>
      <c r="F15" s="380"/>
      <c r="G15" s="380"/>
      <c r="H15" s="380"/>
      <c r="I15" s="380"/>
      <c r="J15" s="380"/>
      <c r="K15" s="11"/>
      <c r="L15" s="5" t="s">
        <v>33</v>
      </c>
      <c r="M15" s="64">
        <v>0.06</v>
      </c>
    </row>
    <row r="16" spans="1:16" x14ac:dyDescent="0.2">
      <c r="A16" s="387" t="s">
        <v>214</v>
      </c>
      <c r="B16" s="387"/>
      <c r="C16" s="136" t="s">
        <v>215</v>
      </c>
      <c r="D16" s="387">
        <v>1</v>
      </c>
      <c r="E16" s="387"/>
      <c r="F16" s="387"/>
      <c r="G16" s="387"/>
      <c r="H16" s="387"/>
      <c r="I16" s="387"/>
      <c r="J16" s="387"/>
      <c r="K16" s="14"/>
      <c r="L16" s="5" t="s">
        <v>34</v>
      </c>
      <c r="M16" s="72">
        <v>30</v>
      </c>
    </row>
    <row r="17" spans="1:13" ht="13.5" thickBot="1" x14ac:dyDescent="0.25">
      <c r="L17" s="7" t="s">
        <v>35</v>
      </c>
      <c r="M17" s="67">
        <f>ROUND((M13*M14*M16)-(M15*(J32+J38)),2)</f>
        <v>186.23</v>
      </c>
    </row>
    <row r="18" spans="1:13" ht="29.25" customHeight="1" thickTop="1" thickBot="1" x14ac:dyDescent="0.25">
      <c r="A18" s="234" t="s">
        <v>62</v>
      </c>
      <c r="B18" s="234"/>
      <c r="C18" s="234"/>
      <c r="D18" s="234"/>
      <c r="E18" s="234"/>
      <c r="F18" s="272" t="s">
        <v>311</v>
      </c>
      <c r="G18" s="272" t="s">
        <v>312</v>
      </c>
      <c r="H18" s="273" t="s">
        <v>314</v>
      </c>
      <c r="I18" s="273" t="s">
        <v>315</v>
      </c>
      <c r="J18" s="274" t="s">
        <v>316</v>
      </c>
      <c r="L18" s="1"/>
      <c r="M18" s="8"/>
    </row>
    <row r="19" spans="1:13" ht="13.5" thickTop="1" x14ac:dyDescent="0.2">
      <c r="A19" s="22">
        <v>1</v>
      </c>
      <c r="B19" s="386" t="s">
        <v>7</v>
      </c>
      <c r="C19" s="386"/>
      <c r="D19" s="386"/>
      <c r="E19" s="23" t="s">
        <v>146</v>
      </c>
      <c r="F19" s="23" t="s">
        <v>146</v>
      </c>
      <c r="G19" s="254" t="s">
        <v>146</v>
      </c>
      <c r="H19" s="254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376" t="s">
        <v>63</v>
      </c>
      <c r="C20" s="376"/>
      <c r="D20" s="376"/>
      <c r="E20" s="25" t="s">
        <v>244</v>
      </c>
      <c r="F20" s="25" t="s">
        <v>244</v>
      </c>
      <c r="G20" s="25" t="s">
        <v>244</v>
      </c>
      <c r="H20" s="257" t="s">
        <v>244</v>
      </c>
      <c r="I20" s="25" t="s">
        <v>244</v>
      </c>
      <c r="J20" s="25" t="s">
        <v>244</v>
      </c>
      <c r="L20" s="5" t="s">
        <v>37</v>
      </c>
      <c r="M20" s="72">
        <v>30</v>
      </c>
    </row>
    <row r="21" spans="1:13" x14ac:dyDescent="0.2">
      <c r="A21" s="22">
        <v>3</v>
      </c>
      <c r="B21" s="376" t="s">
        <v>64</v>
      </c>
      <c r="C21" s="376"/>
      <c r="D21" s="376"/>
      <c r="E21" s="26">
        <v>1447.6</v>
      </c>
      <c r="F21" s="260">
        <v>1500.4</v>
      </c>
      <c r="G21" s="260">
        <v>1500.4</v>
      </c>
      <c r="H21" s="260">
        <v>1590.6</v>
      </c>
      <c r="I21" s="260">
        <v>1590.6</v>
      </c>
      <c r="J21" s="275">
        <v>1764.4</v>
      </c>
      <c r="L21" s="6" t="s">
        <v>38</v>
      </c>
      <c r="M21" s="69">
        <f>M19*M20</f>
        <v>717.9</v>
      </c>
    </row>
    <row r="22" spans="1:13" x14ac:dyDescent="0.2">
      <c r="A22" s="24">
        <v>4</v>
      </c>
      <c r="B22" s="376" t="s">
        <v>8</v>
      </c>
      <c r="C22" s="376"/>
      <c r="D22" s="376"/>
      <c r="E22" s="27" t="s">
        <v>245</v>
      </c>
      <c r="F22" s="27" t="s">
        <v>245</v>
      </c>
      <c r="G22" s="255" t="s">
        <v>245</v>
      </c>
      <c r="H22" s="258" t="s">
        <v>245</v>
      </c>
      <c r="I22" s="27" t="s">
        <v>245</v>
      </c>
      <c r="J22" s="27" t="s">
        <v>245</v>
      </c>
      <c r="L22" s="5" t="s">
        <v>39</v>
      </c>
      <c r="M22" s="70">
        <f>M21*20%</f>
        <v>143.58000000000001</v>
      </c>
    </row>
    <row r="23" spans="1:13" ht="13.5" thickBot="1" x14ac:dyDescent="0.25">
      <c r="A23" s="22">
        <v>5</v>
      </c>
      <c r="B23" s="376" t="s">
        <v>9</v>
      </c>
      <c r="C23" s="376"/>
      <c r="D23" s="376"/>
      <c r="E23" s="28">
        <v>43132</v>
      </c>
      <c r="F23" s="28">
        <v>43132</v>
      </c>
      <c r="G23" s="28">
        <v>43132</v>
      </c>
      <c r="H23" s="259">
        <v>43132</v>
      </c>
      <c r="I23" s="28">
        <v>43132</v>
      </c>
      <c r="J23" s="28">
        <v>43132</v>
      </c>
      <c r="L23" s="7" t="s">
        <v>35</v>
      </c>
      <c r="M23" s="67">
        <f>M21-M22</f>
        <v>574.31999999999994</v>
      </c>
    </row>
    <row r="24" spans="1:13" ht="13.5" thickTop="1" x14ac:dyDescent="0.2">
      <c r="A24" s="24">
        <v>6</v>
      </c>
      <c r="B24" s="386" t="s">
        <v>246</v>
      </c>
      <c r="C24" s="386"/>
      <c r="D24" s="386"/>
      <c r="E24" s="23">
        <v>6.58</v>
      </c>
      <c r="F24" s="23">
        <v>6.82</v>
      </c>
      <c r="G24" s="254">
        <v>6.82</v>
      </c>
      <c r="H24" s="254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376" t="s">
        <v>247</v>
      </c>
      <c r="C25" s="376"/>
      <c r="D25" s="376"/>
      <c r="E25" s="25">
        <v>9.870000000000001</v>
      </c>
      <c r="F25" s="25">
        <v>10.23</v>
      </c>
      <c r="G25" s="25">
        <v>10.23</v>
      </c>
      <c r="H25" s="257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376" t="s">
        <v>248</v>
      </c>
      <c r="C26" s="376"/>
      <c r="D26" s="376"/>
      <c r="E26" s="26">
        <v>1.32</v>
      </c>
      <c r="F26" s="26">
        <v>1.36</v>
      </c>
      <c r="G26" s="26">
        <v>1.36</v>
      </c>
      <c r="H26" s="260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376" t="s">
        <v>249</v>
      </c>
      <c r="C27" s="376"/>
      <c r="D27" s="376"/>
      <c r="E27" s="25">
        <v>1.1000000000000001</v>
      </c>
      <c r="F27" s="25">
        <v>1.1399999999999999</v>
      </c>
      <c r="G27" s="25">
        <v>1.1399999999999999</v>
      </c>
      <c r="H27" s="257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376" t="s">
        <v>250</v>
      </c>
      <c r="C28" s="376"/>
      <c r="D28" s="376"/>
      <c r="E28" s="188">
        <v>1</v>
      </c>
      <c r="F28" s="188">
        <v>1</v>
      </c>
      <c r="G28" s="188">
        <v>1</v>
      </c>
      <c r="H28" s="261">
        <v>1</v>
      </c>
      <c r="I28" s="188">
        <f>D16</f>
        <v>1</v>
      </c>
      <c r="J28" s="188">
        <f>D16</f>
        <v>1</v>
      </c>
      <c r="L28" s="185"/>
      <c r="M28" s="207"/>
    </row>
    <row r="29" spans="1:13" x14ac:dyDescent="0.2">
      <c r="G29" s="169"/>
      <c r="H29" s="262"/>
      <c r="I29" s="169"/>
      <c r="J29" s="169"/>
      <c r="K29" s="231"/>
      <c r="L29" s="185"/>
      <c r="M29" s="207"/>
    </row>
    <row r="30" spans="1:13" x14ac:dyDescent="0.2">
      <c r="A30" s="373" t="s">
        <v>65</v>
      </c>
      <c r="B30" s="374"/>
      <c r="C30" s="374"/>
      <c r="D30" s="374"/>
      <c r="E30" s="374"/>
      <c r="F30" s="374"/>
      <c r="G30" s="374"/>
      <c r="H30" s="374"/>
      <c r="I30" s="374"/>
      <c r="J30" s="375"/>
      <c r="L30" s="185"/>
      <c r="M30" s="207"/>
    </row>
    <row r="31" spans="1:13" x14ac:dyDescent="0.2">
      <c r="A31" s="29">
        <v>1</v>
      </c>
      <c r="B31" s="373" t="s">
        <v>66</v>
      </c>
      <c r="C31" s="375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366" t="s">
        <v>221</v>
      </c>
      <c r="C32" s="367"/>
      <c r="D32" s="33"/>
      <c r="E32" s="34">
        <v>1135.05</v>
      </c>
      <c r="F32" s="263">
        <v>1176.45</v>
      </c>
      <c r="G32" s="263">
        <v>1176.45</v>
      </c>
      <c r="H32" s="263">
        <v>1247.175</v>
      </c>
      <c r="I32" s="263">
        <v>1247.175</v>
      </c>
      <c r="J32" s="276">
        <f>J21/220*172.5</f>
        <v>1383.4499999999998</v>
      </c>
      <c r="L32" s="185"/>
      <c r="M32" s="212"/>
    </row>
    <row r="33" spans="1:14" ht="28.5" customHeight="1" x14ac:dyDescent="0.2">
      <c r="A33" s="32" t="s">
        <v>1</v>
      </c>
      <c r="B33" s="366" t="s">
        <v>299</v>
      </c>
      <c r="C33" s="367"/>
      <c r="D33" s="120">
        <v>0.3</v>
      </c>
      <c r="E33" s="34">
        <v>340.52</v>
      </c>
      <c r="F33" s="34">
        <v>352.94</v>
      </c>
      <c r="G33" s="34">
        <v>352.94</v>
      </c>
      <c r="H33" s="263">
        <v>374.15</v>
      </c>
      <c r="I33" s="34">
        <v>374.15</v>
      </c>
      <c r="J33" s="34">
        <f>ROUND(D33*J32,2)</f>
        <v>415.04</v>
      </c>
      <c r="L33" s="185"/>
      <c r="M33" s="213"/>
      <c r="N33" s="213"/>
    </row>
    <row r="34" spans="1:14" ht="44.25" customHeight="1" x14ac:dyDescent="0.2">
      <c r="A34" s="32" t="s">
        <v>2</v>
      </c>
      <c r="B34" s="366" t="s">
        <v>300</v>
      </c>
      <c r="C34" s="367"/>
      <c r="D34" s="33"/>
      <c r="E34" s="34">
        <v>32.9</v>
      </c>
      <c r="F34" s="34">
        <v>34.1</v>
      </c>
      <c r="G34" s="34">
        <v>34.1</v>
      </c>
      <c r="H34" s="263">
        <v>36.15</v>
      </c>
      <c r="I34" s="34">
        <v>36.15</v>
      </c>
      <c r="J34" s="34">
        <f>ROUND((J32/172.5)/6*30,2)</f>
        <v>40.1</v>
      </c>
      <c r="L34" s="170"/>
      <c r="M34" s="170"/>
      <c r="N34" s="170"/>
    </row>
    <row r="35" spans="1:14" ht="42" customHeight="1" x14ac:dyDescent="0.2">
      <c r="A35" s="32" t="s">
        <v>3</v>
      </c>
      <c r="B35" s="366" t="s">
        <v>303</v>
      </c>
      <c r="C35" s="367"/>
      <c r="D35" s="33"/>
      <c r="E35" s="34">
        <v>179.63499999999999</v>
      </c>
      <c r="F35" s="34">
        <v>186.185</v>
      </c>
      <c r="G35" s="34">
        <v>186.185</v>
      </c>
      <c r="H35" s="263">
        <v>197.38</v>
      </c>
      <c r="I35" s="34">
        <v>197.38</v>
      </c>
      <c r="J35" s="34">
        <f>ROUND(((J32+J33)/172.5)*30*7*0.2,2)/2</f>
        <v>218.94499999999999</v>
      </c>
      <c r="L35" s="170"/>
      <c r="M35" s="170"/>
    </row>
    <row r="36" spans="1:14" ht="56.25" customHeight="1" x14ac:dyDescent="0.2">
      <c r="A36" s="32" t="s">
        <v>4</v>
      </c>
      <c r="B36" s="366" t="s">
        <v>304</v>
      </c>
      <c r="C36" s="367"/>
      <c r="D36" s="33"/>
      <c r="E36" s="34">
        <v>230.96</v>
      </c>
      <c r="F36" s="34">
        <v>239.38499999999999</v>
      </c>
      <c r="G36" s="34">
        <v>239.38499999999999</v>
      </c>
      <c r="H36" s="263">
        <v>253.77500000000001</v>
      </c>
      <c r="I36" s="34">
        <v>253.77500000000001</v>
      </c>
      <c r="J36" s="34">
        <f>ROUND(((J32+J33)/172.5)*((30*7)/52.5*7.5)*1.5*1.2,2)/2</f>
        <v>281.505</v>
      </c>
    </row>
    <row r="37" spans="1:14" x14ac:dyDescent="0.2">
      <c r="A37" s="32" t="s">
        <v>5</v>
      </c>
      <c r="B37" s="366" t="s">
        <v>50</v>
      </c>
      <c r="C37" s="367"/>
      <c r="D37" s="33"/>
      <c r="E37" s="34">
        <v>73.930000000000007</v>
      </c>
      <c r="F37" s="34">
        <v>76.63</v>
      </c>
      <c r="G37" s="34">
        <v>76.63</v>
      </c>
      <c r="H37" s="263">
        <v>81.23</v>
      </c>
      <c r="I37" s="34">
        <v>81.23</v>
      </c>
      <c r="J37" s="34">
        <f>ROUND((J34+J35+J36)*16.67%,2)</f>
        <v>90.11</v>
      </c>
      <c r="K37" s="170">
        <f>ROUND((J34)*16.67%,2)</f>
        <v>6.68</v>
      </c>
      <c r="M37" s="9"/>
    </row>
    <row r="38" spans="1:14" x14ac:dyDescent="0.2">
      <c r="A38" s="32" t="s">
        <v>6</v>
      </c>
      <c r="B38" s="366" t="s">
        <v>217</v>
      </c>
      <c r="C38" s="367"/>
      <c r="D38" s="33"/>
      <c r="E38" s="34">
        <v>256.62</v>
      </c>
      <c r="F38" s="34">
        <v>265.98</v>
      </c>
      <c r="G38" s="34">
        <v>265.98</v>
      </c>
      <c r="H38" s="263">
        <v>281.97000000000003</v>
      </c>
      <c r="I38" s="34">
        <v>281.97000000000003</v>
      </c>
      <c r="J38" s="34">
        <f>ROUND((J32+J33)/172.5*5*6,2)</f>
        <v>312.77999999999997</v>
      </c>
      <c r="M38" s="9"/>
    </row>
    <row r="39" spans="1:14" x14ac:dyDescent="0.2">
      <c r="A39" s="370" t="s">
        <v>157</v>
      </c>
      <c r="B39" s="371"/>
      <c r="C39" s="371"/>
      <c r="D39" s="372"/>
      <c r="E39" s="35">
        <v>2249.62</v>
      </c>
      <c r="F39" s="31">
        <v>2331.67</v>
      </c>
      <c r="G39" s="35">
        <v>2331.67</v>
      </c>
      <c r="H39" s="35">
        <v>2471.83</v>
      </c>
      <c r="I39" s="35">
        <f>ROUND(SUM(I32:I38),2)</f>
        <v>2471.83</v>
      </c>
      <c r="J39" s="35">
        <f>ROUND(SUM(J32:J38),2)</f>
        <v>2741.93</v>
      </c>
      <c r="K39" s="35">
        <f>ROUND(SUM(J32:J38),2)-J34-K37</f>
        <v>2695.15</v>
      </c>
      <c r="M39" s="9"/>
    </row>
    <row r="40" spans="1:14" x14ac:dyDescent="0.2">
      <c r="M40" s="9"/>
    </row>
    <row r="41" spans="1:14" x14ac:dyDescent="0.2">
      <c r="A41" s="373" t="s">
        <v>68</v>
      </c>
      <c r="B41" s="374"/>
      <c r="C41" s="374"/>
      <c r="D41" s="374"/>
      <c r="E41" s="374"/>
      <c r="F41" s="374"/>
      <c r="G41" s="374"/>
      <c r="H41" s="374"/>
      <c r="I41" s="374"/>
      <c r="J41" s="375"/>
      <c r="M41" s="9"/>
    </row>
    <row r="42" spans="1:14" x14ac:dyDescent="0.2">
      <c r="A42" s="373" t="s">
        <v>69</v>
      </c>
      <c r="B42" s="374"/>
      <c r="C42" s="375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366" t="s">
        <v>70</v>
      </c>
      <c r="C43" s="367"/>
      <c r="D43" s="36">
        <f>'Encargos Sociais'!C5</f>
        <v>8.3299999999999999E-2</v>
      </c>
      <c r="E43" s="34">
        <v>184.2</v>
      </c>
      <c r="F43" s="34">
        <v>190.91</v>
      </c>
      <c r="G43" s="34">
        <v>190.91</v>
      </c>
      <c r="H43" s="263">
        <v>202.39</v>
      </c>
      <c r="I43" s="34">
        <v>202.39</v>
      </c>
      <c r="J43" s="34">
        <f>ROUND(D43*$K$39,2)</f>
        <v>224.51</v>
      </c>
    </row>
    <row r="44" spans="1:14" x14ac:dyDescent="0.2">
      <c r="A44" s="32" t="s">
        <v>1</v>
      </c>
      <c r="B44" s="366" t="s">
        <v>49</v>
      </c>
      <c r="C44" s="367"/>
      <c r="D44" s="36">
        <f>'Encargos Sociais'!C11</f>
        <v>0.121</v>
      </c>
      <c r="E44" s="34">
        <v>267.56</v>
      </c>
      <c r="F44" s="34">
        <v>277.32</v>
      </c>
      <c r="G44" s="34">
        <v>277.32</v>
      </c>
      <c r="H44" s="263">
        <v>293.99</v>
      </c>
      <c r="I44" s="34">
        <v>293.99</v>
      </c>
      <c r="J44" s="34">
        <f>ROUND(D44*$K$39,2)</f>
        <v>326.11</v>
      </c>
      <c r="M44" s="9"/>
    </row>
    <row r="45" spans="1:14" ht="12.75" customHeight="1" x14ac:dyDescent="0.2">
      <c r="A45" s="370" t="s">
        <v>156</v>
      </c>
      <c r="B45" s="371"/>
      <c r="C45" s="372"/>
      <c r="D45" s="37">
        <f>SUM(D43:D44)</f>
        <v>0.20429999999999998</v>
      </c>
      <c r="E45" s="35">
        <v>451.76</v>
      </c>
      <c r="F45" s="35">
        <v>468.23</v>
      </c>
      <c r="G45" s="35">
        <v>468.23</v>
      </c>
      <c r="H45" s="35">
        <v>496.38</v>
      </c>
      <c r="I45" s="35">
        <f>ROUND(SUM(I43:I44),2)</f>
        <v>496.38</v>
      </c>
      <c r="J45" s="35">
        <f>ROUND(SUM(J43:J44),2)</f>
        <v>550.62</v>
      </c>
      <c r="M45" s="9"/>
    </row>
    <row r="46" spans="1:14" x14ac:dyDescent="0.2">
      <c r="M46" s="9"/>
    </row>
    <row r="47" spans="1:14" ht="12.75" customHeight="1" x14ac:dyDescent="0.2">
      <c r="A47" s="373" t="s">
        <v>71</v>
      </c>
      <c r="B47" s="374"/>
      <c r="C47" s="375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384" t="s">
        <v>16</v>
      </c>
      <c r="C48" s="385"/>
      <c r="D48" s="36">
        <f>'Encargos Sociais'!C16</f>
        <v>0.2</v>
      </c>
      <c r="E48" s="34">
        <v>442.25</v>
      </c>
      <c r="F48" s="34">
        <v>458.38</v>
      </c>
      <c r="G48" s="34">
        <v>458.38</v>
      </c>
      <c r="H48" s="263">
        <v>485.93</v>
      </c>
      <c r="I48" s="34">
        <v>485.93</v>
      </c>
      <c r="J48" s="34">
        <f t="shared" ref="J48:J55" si="0">ROUND(D48*($K$39),2)</f>
        <v>539.03</v>
      </c>
      <c r="M48" s="9"/>
    </row>
    <row r="49" spans="1:13" x14ac:dyDescent="0.2">
      <c r="A49" s="32" t="s">
        <v>1</v>
      </c>
      <c r="B49" s="384" t="s">
        <v>18</v>
      </c>
      <c r="C49" s="385"/>
      <c r="D49" s="36">
        <f>'Encargos Sociais'!C17</f>
        <v>2.5000000000000001E-2</v>
      </c>
      <c r="E49" s="34">
        <v>55.28</v>
      </c>
      <c r="F49" s="34">
        <v>57.3</v>
      </c>
      <c r="G49" s="34">
        <v>57.3</v>
      </c>
      <c r="H49" s="263">
        <v>60.74</v>
      </c>
      <c r="I49" s="34">
        <v>60.74</v>
      </c>
      <c r="J49" s="34">
        <f t="shared" si="0"/>
        <v>67.38</v>
      </c>
    </row>
    <row r="50" spans="1:13" x14ac:dyDescent="0.2">
      <c r="A50" s="32" t="s">
        <v>2</v>
      </c>
      <c r="B50" s="384" t="s">
        <v>72</v>
      </c>
      <c r="C50" s="385"/>
      <c r="D50" s="36">
        <f>'Encargos Sociais'!C18</f>
        <v>4.0800000000000003E-2</v>
      </c>
      <c r="E50" s="34">
        <v>90.22</v>
      </c>
      <c r="F50" s="34">
        <v>93.51</v>
      </c>
      <c r="G50" s="34">
        <v>93.51</v>
      </c>
      <c r="H50" s="263">
        <v>99.13</v>
      </c>
      <c r="I50" s="34">
        <v>99.13</v>
      </c>
      <c r="J50" s="34">
        <f t="shared" si="0"/>
        <v>109.96</v>
      </c>
    </row>
    <row r="51" spans="1:13" x14ac:dyDescent="0.2">
      <c r="A51" s="32" t="s">
        <v>3</v>
      </c>
      <c r="B51" s="384" t="s">
        <v>73</v>
      </c>
      <c r="C51" s="385"/>
      <c r="D51" s="36">
        <f>'Encargos Sociais'!C19</f>
        <v>1.4999999999999999E-2</v>
      </c>
      <c r="E51" s="34">
        <v>33.17</v>
      </c>
      <c r="F51" s="34">
        <v>34.380000000000003</v>
      </c>
      <c r="G51" s="34">
        <v>34.380000000000003</v>
      </c>
      <c r="H51" s="263">
        <v>36.44</v>
      </c>
      <c r="I51" s="34">
        <v>36.44</v>
      </c>
      <c r="J51" s="34">
        <f t="shared" si="0"/>
        <v>40.43</v>
      </c>
    </row>
    <row r="52" spans="1:13" x14ac:dyDescent="0.2">
      <c r="A52" s="32" t="s">
        <v>4</v>
      </c>
      <c r="B52" s="384" t="s">
        <v>74</v>
      </c>
      <c r="C52" s="385"/>
      <c r="D52" s="36">
        <f>'Encargos Sociais'!C20</f>
        <v>0.01</v>
      </c>
      <c r="E52" s="34">
        <v>22.11</v>
      </c>
      <c r="F52" s="34">
        <v>22.92</v>
      </c>
      <c r="G52" s="34">
        <v>22.92</v>
      </c>
      <c r="H52" s="263">
        <v>24.3</v>
      </c>
      <c r="I52" s="34">
        <v>24.3</v>
      </c>
      <c r="J52" s="34">
        <f t="shared" si="0"/>
        <v>26.95</v>
      </c>
    </row>
    <row r="53" spans="1:13" x14ac:dyDescent="0.2">
      <c r="A53" s="32" t="s">
        <v>5</v>
      </c>
      <c r="B53" s="384" t="s">
        <v>20</v>
      </c>
      <c r="C53" s="385"/>
      <c r="D53" s="36">
        <f>'Encargos Sociais'!C21</f>
        <v>6.0000000000000001E-3</v>
      </c>
      <c r="E53" s="34">
        <v>13.27</v>
      </c>
      <c r="F53" s="34">
        <v>13.75</v>
      </c>
      <c r="G53" s="34">
        <v>13.75</v>
      </c>
      <c r="H53" s="263">
        <v>14.58</v>
      </c>
      <c r="I53" s="34">
        <v>14.58</v>
      </c>
      <c r="J53" s="34">
        <f t="shared" si="0"/>
        <v>16.170000000000002</v>
      </c>
    </row>
    <row r="54" spans="1:13" x14ac:dyDescent="0.2">
      <c r="A54" s="32" t="s">
        <v>6</v>
      </c>
      <c r="B54" s="384" t="s">
        <v>17</v>
      </c>
      <c r="C54" s="385"/>
      <c r="D54" s="36">
        <f>'Encargos Sociais'!C22</f>
        <v>2E-3</v>
      </c>
      <c r="E54" s="34">
        <v>4.42</v>
      </c>
      <c r="F54" s="34">
        <v>4.58</v>
      </c>
      <c r="G54" s="34">
        <v>4.58</v>
      </c>
      <c r="H54" s="263">
        <v>4.8600000000000003</v>
      </c>
      <c r="I54" s="34">
        <v>4.8600000000000003</v>
      </c>
      <c r="J54" s="34">
        <f t="shared" si="0"/>
        <v>5.39</v>
      </c>
    </row>
    <row r="55" spans="1:13" x14ac:dyDescent="0.2">
      <c r="A55" s="32" t="s">
        <v>10</v>
      </c>
      <c r="B55" s="384" t="s">
        <v>19</v>
      </c>
      <c r="C55" s="385"/>
      <c r="D55" s="36">
        <f>'Encargos Sociais'!C23</f>
        <v>0.08</v>
      </c>
      <c r="E55" s="34">
        <v>176.9</v>
      </c>
      <c r="F55" s="34">
        <v>183.35</v>
      </c>
      <c r="G55" s="34">
        <v>183.35</v>
      </c>
      <c r="H55" s="263">
        <v>194.37</v>
      </c>
      <c r="I55" s="34">
        <v>194.37</v>
      </c>
      <c r="J55" s="34">
        <f t="shared" si="0"/>
        <v>215.61</v>
      </c>
    </row>
    <row r="56" spans="1:13" ht="12.75" customHeight="1" x14ac:dyDescent="0.2">
      <c r="A56" s="370" t="s">
        <v>156</v>
      </c>
      <c r="B56" s="371"/>
      <c r="C56" s="372"/>
      <c r="D56" s="37">
        <f>SUM(D48:D55)</f>
        <v>0.37880000000000008</v>
      </c>
      <c r="E56" s="35">
        <v>837.62</v>
      </c>
      <c r="F56" s="35">
        <v>868.17</v>
      </c>
      <c r="G56" s="35">
        <v>868.17</v>
      </c>
      <c r="H56" s="35">
        <v>920.35</v>
      </c>
      <c r="I56" s="35">
        <f>ROUND(SUM(I48:I55),2)</f>
        <v>920.35</v>
      </c>
      <c r="J56" s="35">
        <f>ROUND(SUM(J48:J55),2)</f>
        <v>1020.92</v>
      </c>
      <c r="K56" s="210"/>
      <c r="L56" s="20"/>
    </row>
    <row r="58" spans="1:13" ht="12.75" customHeight="1" x14ac:dyDescent="0.2">
      <c r="A58" s="373" t="s">
        <v>75</v>
      </c>
      <c r="B58" s="374"/>
      <c r="C58" s="375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366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30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367"/>
      <c r="D59" s="38" t="s">
        <v>76</v>
      </c>
      <c r="E59" s="34">
        <v>174.5</v>
      </c>
      <c r="F59" s="34">
        <v>171.45</v>
      </c>
      <c r="G59" s="34">
        <v>195.45</v>
      </c>
      <c r="H59" s="263">
        <v>190.25</v>
      </c>
      <c r="I59" s="34">
        <v>196.25</v>
      </c>
      <c r="J59" s="34">
        <f>IF(M17&lt;=0,0,IF(M17&gt;0,M17))</f>
        <v>186.23</v>
      </c>
      <c r="K59" s="39"/>
      <c r="L59" s="40"/>
    </row>
    <row r="60" spans="1:13" ht="54" customHeight="1" x14ac:dyDescent="0.2">
      <c r="A60" s="32" t="s">
        <v>1</v>
      </c>
      <c r="B60" s="366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30 Dias Trabalhados) - (20% do desconto legal) ]</v>
      </c>
      <c r="C60" s="367"/>
      <c r="D60" s="38" t="s">
        <v>76</v>
      </c>
      <c r="E60" s="34">
        <v>0</v>
      </c>
      <c r="F60" s="263">
        <v>0</v>
      </c>
      <c r="G60" s="263">
        <v>0</v>
      </c>
      <c r="H60" s="263">
        <v>0</v>
      </c>
      <c r="I60" s="263">
        <v>0</v>
      </c>
      <c r="J60" s="276">
        <v>0</v>
      </c>
      <c r="K60" s="39"/>
      <c r="L60" s="40"/>
      <c r="M60" s="41"/>
    </row>
    <row r="61" spans="1:13" x14ac:dyDescent="0.2">
      <c r="A61" s="32" t="s">
        <v>2</v>
      </c>
      <c r="B61" s="366" t="s">
        <v>309</v>
      </c>
      <c r="C61" s="367"/>
      <c r="D61" s="38" t="s">
        <v>76</v>
      </c>
      <c r="E61" s="34">
        <v>2.5</v>
      </c>
      <c r="F61" s="34">
        <v>2.5</v>
      </c>
      <c r="G61" s="34">
        <v>2.5</v>
      </c>
      <c r="H61" s="263">
        <v>2.5</v>
      </c>
      <c r="I61" s="34">
        <v>2.5</v>
      </c>
      <c r="J61" s="34">
        <v>2.5</v>
      </c>
    </row>
    <row r="62" spans="1:13" ht="12.75" customHeight="1" x14ac:dyDescent="0.2">
      <c r="A62" s="370" t="s">
        <v>156</v>
      </c>
      <c r="B62" s="371"/>
      <c r="C62" s="372"/>
      <c r="D62" s="42"/>
      <c r="E62" s="35">
        <v>177</v>
      </c>
      <c r="F62" s="35">
        <v>173.95</v>
      </c>
      <c r="G62" s="35">
        <v>197.95</v>
      </c>
      <c r="H62" s="35">
        <v>192.75</v>
      </c>
      <c r="I62" s="35">
        <f>ROUND(SUM(I59:I61),2)</f>
        <v>198.75</v>
      </c>
      <c r="J62" s="35">
        <f>ROUND(SUM(J59:J61),2)</f>
        <v>188.73</v>
      </c>
    </row>
    <row r="64" spans="1:13" ht="12.75" customHeight="1" x14ac:dyDescent="0.2">
      <c r="A64" s="381" t="s">
        <v>77</v>
      </c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12.75" customHeight="1" x14ac:dyDescent="0.2">
      <c r="A65" s="381" t="s">
        <v>78</v>
      </c>
      <c r="B65" s="381"/>
      <c r="C65" s="381"/>
      <c r="D65" s="381"/>
      <c r="E65" s="232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376" t="s">
        <v>80</v>
      </c>
      <c r="C66" s="376"/>
      <c r="D66" s="376"/>
      <c r="E66" s="228">
        <v>451.76</v>
      </c>
      <c r="F66" s="25">
        <v>468.23</v>
      </c>
      <c r="G66" s="25">
        <v>468.23</v>
      </c>
      <c r="H66" s="257">
        <v>496.38</v>
      </c>
      <c r="I66" s="25">
        <v>496.38</v>
      </c>
      <c r="J66" s="25">
        <f>J45</f>
        <v>550.62</v>
      </c>
    </row>
    <row r="67" spans="1:10" x14ac:dyDescent="0.2">
      <c r="A67" s="135" t="s">
        <v>81</v>
      </c>
      <c r="B67" s="376" t="s">
        <v>82</v>
      </c>
      <c r="C67" s="376"/>
      <c r="D67" s="376"/>
      <c r="E67" s="228">
        <v>837.62</v>
      </c>
      <c r="F67" s="25">
        <v>868.17</v>
      </c>
      <c r="G67" s="25">
        <v>868.17</v>
      </c>
      <c r="H67" s="257">
        <v>920.35</v>
      </c>
      <c r="I67" s="25">
        <v>920.35</v>
      </c>
      <c r="J67" s="25">
        <f>J56</f>
        <v>1020.92</v>
      </c>
    </row>
    <row r="68" spans="1:10" x14ac:dyDescent="0.2">
      <c r="A68" s="135" t="s">
        <v>83</v>
      </c>
      <c r="B68" s="376" t="s">
        <v>25</v>
      </c>
      <c r="C68" s="376"/>
      <c r="D68" s="376"/>
      <c r="E68" s="228">
        <v>177</v>
      </c>
      <c r="F68" s="25">
        <v>173.95</v>
      </c>
      <c r="G68" s="25">
        <v>197.95</v>
      </c>
      <c r="H68" s="257">
        <v>192.75</v>
      </c>
      <c r="I68" s="25">
        <v>198.75</v>
      </c>
      <c r="J68" s="25">
        <f>J62</f>
        <v>188.73</v>
      </c>
    </row>
    <row r="69" spans="1:10" ht="12.75" customHeight="1" x14ac:dyDescent="0.2">
      <c r="A69" s="369" t="s">
        <v>156</v>
      </c>
      <c r="B69" s="369"/>
      <c r="C69" s="369"/>
      <c r="D69" s="369"/>
      <c r="E69" s="235">
        <v>1466.38</v>
      </c>
      <c r="F69" s="128">
        <v>1510.35</v>
      </c>
      <c r="G69" s="35">
        <v>1534.35</v>
      </c>
      <c r="H69" s="35">
        <v>1609.48</v>
      </c>
      <c r="I69" s="35">
        <f>ROUND(SUM(I66:I68),2)</f>
        <v>1615.48</v>
      </c>
      <c r="J69" s="35">
        <f>ROUND(SUM(J66:J68),2)</f>
        <v>1760.27</v>
      </c>
    </row>
    <row r="71" spans="1:10" x14ac:dyDescent="0.2">
      <c r="A71" s="373" t="s">
        <v>84</v>
      </c>
      <c r="B71" s="374"/>
      <c r="C71" s="374"/>
      <c r="D71" s="374"/>
      <c r="E71" s="374"/>
      <c r="F71" s="374"/>
      <c r="G71" s="374"/>
      <c r="H71" s="374"/>
      <c r="I71" s="374"/>
      <c r="J71" s="375"/>
    </row>
    <row r="72" spans="1:10" x14ac:dyDescent="0.2">
      <c r="A72" s="29">
        <v>3</v>
      </c>
      <c r="B72" s="373" t="s">
        <v>85</v>
      </c>
      <c r="C72" s="375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384" t="s">
        <v>86</v>
      </c>
      <c r="C73" s="385"/>
      <c r="D73" s="36">
        <f>'Encargos Sociais'!C28</f>
        <v>4.1999999999999997E-3</v>
      </c>
      <c r="E73" s="34">
        <v>9.2899999999999991</v>
      </c>
      <c r="F73" s="34">
        <v>9.6300000000000008</v>
      </c>
      <c r="G73" s="34">
        <v>9.6300000000000008</v>
      </c>
      <c r="H73" s="263">
        <v>10.199999999999999</v>
      </c>
      <c r="I73" s="34">
        <v>10.199999999999999</v>
      </c>
      <c r="J73" s="34">
        <f t="shared" ref="J73:J78" si="1">ROUND(D73*$K$39,2)</f>
        <v>11.32</v>
      </c>
    </row>
    <row r="74" spans="1:10" x14ac:dyDescent="0.2">
      <c r="A74" s="44" t="s">
        <v>1</v>
      </c>
      <c r="B74" s="384" t="s">
        <v>87</v>
      </c>
      <c r="C74" s="385"/>
      <c r="D74" s="45">
        <f>'Encargos Sociais'!C36</f>
        <v>2.9999999999999997E-4</v>
      </c>
      <c r="E74" s="34">
        <v>0.66</v>
      </c>
      <c r="F74" s="34">
        <v>0.69</v>
      </c>
      <c r="G74" s="34">
        <v>0.69</v>
      </c>
      <c r="H74" s="263">
        <v>0.73</v>
      </c>
      <c r="I74" s="34">
        <v>0.73</v>
      </c>
      <c r="J74" s="34">
        <f t="shared" si="1"/>
        <v>0.81</v>
      </c>
    </row>
    <row r="75" spans="1:10" x14ac:dyDescent="0.2">
      <c r="A75" s="44" t="s">
        <v>2</v>
      </c>
      <c r="B75" s="384" t="s">
        <v>88</v>
      </c>
      <c r="C75" s="385"/>
      <c r="D75" s="45">
        <f>'Encargos Sociais'!C41</f>
        <v>1.9199999999999998E-3</v>
      </c>
      <c r="E75" s="34">
        <v>5.31</v>
      </c>
      <c r="F75" s="34">
        <v>5.5</v>
      </c>
      <c r="G75" s="34">
        <v>4.4000000000000004</v>
      </c>
      <c r="H75" s="263">
        <v>4.66</v>
      </c>
      <c r="I75" s="34">
        <v>4.66</v>
      </c>
      <c r="J75" s="34">
        <f t="shared" si="1"/>
        <v>5.17</v>
      </c>
    </row>
    <row r="76" spans="1:10" x14ac:dyDescent="0.2">
      <c r="A76" s="32" t="s">
        <v>3</v>
      </c>
      <c r="B76" s="384" t="s">
        <v>89</v>
      </c>
      <c r="C76" s="385"/>
      <c r="D76" s="36">
        <f>'Encargos Sociais'!C43</f>
        <v>1.6000000000000001E-3</v>
      </c>
      <c r="E76" s="34">
        <v>3.54</v>
      </c>
      <c r="F76" s="34">
        <v>3.67</v>
      </c>
      <c r="G76" s="34">
        <v>3.67</v>
      </c>
      <c r="H76" s="263">
        <v>3.89</v>
      </c>
      <c r="I76" s="34">
        <v>3.89</v>
      </c>
      <c r="J76" s="34">
        <f t="shared" si="1"/>
        <v>4.3099999999999996</v>
      </c>
    </row>
    <row r="77" spans="1:10" ht="25.5" customHeight="1" x14ac:dyDescent="0.2">
      <c r="A77" s="32" t="s">
        <v>4</v>
      </c>
      <c r="B77" s="384" t="s">
        <v>90</v>
      </c>
      <c r="C77" s="385"/>
      <c r="D77" s="36">
        <f>'Encargos Sociais'!C53</f>
        <v>5.9999999999999995E-4</v>
      </c>
      <c r="E77" s="34">
        <v>1.33</v>
      </c>
      <c r="F77" s="34">
        <v>1.38</v>
      </c>
      <c r="G77" s="34">
        <v>1.38</v>
      </c>
      <c r="H77" s="263">
        <v>1.46</v>
      </c>
      <c r="I77" s="34">
        <v>1.46</v>
      </c>
      <c r="J77" s="34">
        <f t="shared" si="1"/>
        <v>1.62</v>
      </c>
    </row>
    <row r="78" spans="1:10" x14ac:dyDescent="0.2">
      <c r="A78" s="44" t="s">
        <v>5</v>
      </c>
      <c r="B78" s="384" t="s">
        <v>91</v>
      </c>
      <c r="C78" s="385"/>
      <c r="D78" s="45">
        <f>'Encargos Sociais'!C55</f>
        <v>3.8079999999999996E-2</v>
      </c>
      <c r="E78" s="34">
        <v>105.26</v>
      </c>
      <c r="F78" s="34">
        <v>109.09</v>
      </c>
      <c r="G78" s="34">
        <v>87.28</v>
      </c>
      <c r="H78" s="263">
        <v>92.52</v>
      </c>
      <c r="I78" s="34">
        <v>92.52</v>
      </c>
      <c r="J78" s="34">
        <f t="shared" si="1"/>
        <v>102.63</v>
      </c>
    </row>
    <row r="79" spans="1:10" ht="12.75" customHeight="1" x14ac:dyDescent="0.2">
      <c r="A79" s="370" t="s">
        <v>156</v>
      </c>
      <c r="B79" s="371"/>
      <c r="C79" s="372"/>
      <c r="D79" s="37">
        <f>SUM(D73:D78)</f>
        <v>4.6699999999999992E-2</v>
      </c>
      <c r="E79" s="31">
        <v>125.39</v>
      </c>
      <c r="F79" s="35">
        <v>129.96</v>
      </c>
      <c r="G79" s="35">
        <v>107.05</v>
      </c>
      <c r="H79" s="35">
        <v>113.46</v>
      </c>
      <c r="I79" s="35">
        <f>ROUND(SUM(I73:I78),2)</f>
        <v>113.46</v>
      </c>
      <c r="J79" s="35">
        <f>ROUND(SUM(J73:J78),2)</f>
        <v>125.86</v>
      </c>
    </row>
    <row r="81" spans="1:10" x14ac:dyDescent="0.2">
      <c r="A81" s="373" t="s">
        <v>92</v>
      </c>
      <c r="B81" s="374"/>
      <c r="C81" s="374"/>
      <c r="D81" s="374"/>
      <c r="E81" s="374"/>
      <c r="F81" s="374"/>
      <c r="G81" s="374"/>
      <c r="H81" s="374"/>
      <c r="I81" s="374"/>
      <c r="J81" s="375"/>
    </row>
    <row r="82" spans="1:10" x14ac:dyDescent="0.2">
      <c r="A82" s="46"/>
      <c r="B82" s="373" t="s">
        <v>93</v>
      </c>
      <c r="C82" s="375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384" t="s">
        <v>94</v>
      </c>
      <c r="C83" s="385"/>
      <c r="D83" s="36">
        <f>'Encargos Sociais'!C61</f>
        <v>1.01E-2</v>
      </c>
      <c r="E83" s="34">
        <v>22.33</v>
      </c>
      <c r="F83" s="34">
        <v>23.15</v>
      </c>
      <c r="G83" s="34">
        <v>23.15</v>
      </c>
      <c r="H83" s="263">
        <v>24.54</v>
      </c>
      <c r="I83" s="34">
        <v>24.54</v>
      </c>
      <c r="J83" s="34">
        <f t="shared" ref="J83:J88" si="2">ROUND(D83*$K$39,2)</f>
        <v>27.22</v>
      </c>
    </row>
    <row r="84" spans="1:10" x14ac:dyDescent="0.2">
      <c r="A84" s="32" t="s">
        <v>1</v>
      </c>
      <c r="B84" s="384" t="s">
        <v>95</v>
      </c>
      <c r="C84" s="385"/>
      <c r="D84" s="36">
        <f>'Encargos Sociais'!C67</f>
        <v>5.5999999999999999E-3</v>
      </c>
      <c r="E84" s="34">
        <v>12.38</v>
      </c>
      <c r="F84" s="34">
        <v>12.83</v>
      </c>
      <c r="G84" s="34">
        <v>12.83</v>
      </c>
      <c r="H84" s="263">
        <v>13.61</v>
      </c>
      <c r="I84" s="34">
        <v>13.61</v>
      </c>
      <c r="J84" s="34">
        <f t="shared" si="2"/>
        <v>15.09</v>
      </c>
    </row>
    <row r="85" spans="1:10" x14ac:dyDescent="0.2">
      <c r="A85" s="32" t="s">
        <v>2</v>
      </c>
      <c r="B85" s="384" t="s">
        <v>139</v>
      </c>
      <c r="C85" s="385"/>
      <c r="D85" s="36">
        <f>'Encargos Sociais'!C76</f>
        <v>1.3899999999999999E-2</v>
      </c>
      <c r="E85" s="34">
        <v>30.74</v>
      </c>
      <c r="F85" s="34">
        <v>31.86</v>
      </c>
      <c r="G85" s="34">
        <v>31.86</v>
      </c>
      <c r="H85" s="263">
        <v>33.770000000000003</v>
      </c>
      <c r="I85" s="34">
        <v>33.770000000000003</v>
      </c>
      <c r="J85" s="34">
        <f t="shared" si="2"/>
        <v>37.46</v>
      </c>
    </row>
    <row r="86" spans="1:10" x14ac:dyDescent="0.2">
      <c r="A86" s="32" t="s">
        <v>3</v>
      </c>
      <c r="B86" s="384" t="s">
        <v>96</v>
      </c>
      <c r="C86" s="385"/>
      <c r="D86" s="36">
        <f>'Encargos Sociais'!C84</f>
        <v>1.6999999999999999E-3</v>
      </c>
      <c r="E86" s="34">
        <v>3.76</v>
      </c>
      <c r="F86" s="34">
        <v>3.9</v>
      </c>
      <c r="G86" s="34">
        <v>3.9</v>
      </c>
      <c r="H86" s="263">
        <v>4.13</v>
      </c>
      <c r="I86" s="34">
        <v>4.13</v>
      </c>
      <c r="J86" s="34">
        <f t="shared" si="2"/>
        <v>4.58</v>
      </c>
    </row>
    <row r="87" spans="1:10" x14ac:dyDescent="0.2">
      <c r="A87" s="32" t="s">
        <v>4</v>
      </c>
      <c r="B87" s="384" t="s">
        <v>97</v>
      </c>
      <c r="C87" s="385"/>
      <c r="D87" s="36">
        <f>'Encargos Sociais'!C97</f>
        <v>2.0999999999999999E-3</v>
      </c>
      <c r="E87" s="34">
        <v>4.6399999999999997</v>
      </c>
      <c r="F87" s="34">
        <v>4.8099999999999996</v>
      </c>
      <c r="G87" s="34">
        <v>4.8099999999999996</v>
      </c>
      <c r="H87" s="263">
        <v>5.0999999999999996</v>
      </c>
      <c r="I87" s="34">
        <v>5.0999999999999996</v>
      </c>
      <c r="J87" s="34">
        <f t="shared" si="2"/>
        <v>5.66</v>
      </c>
    </row>
    <row r="88" spans="1:10" x14ac:dyDescent="0.2">
      <c r="A88" s="32" t="s">
        <v>5</v>
      </c>
      <c r="B88" s="384" t="s">
        <v>98</v>
      </c>
      <c r="C88" s="385"/>
      <c r="D88" s="36">
        <f>'Encargos Sociais'!C107</f>
        <v>6.9999999999999999E-4</v>
      </c>
      <c r="E88" s="34">
        <v>1.55</v>
      </c>
      <c r="F88" s="34">
        <v>1.6</v>
      </c>
      <c r="G88" s="34">
        <v>1.6</v>
      </c>
      <c r="H88" s="263">
        <v>1.7</v>
      </c>
      <c r="I88" s="34">
        <v>1.7</v>
      </c>
      <c r="J88" s="34">
        <f t="shared" si="2"/>
        <v>1.89</v>
      </c>
    </row>
    <row r="89" spans="1:10" ht="12.75" customHeight="1" x14ac:dyDescent="0.2">
      <c r="A89" s="370" t="s">
        <v>156</v>
      </c>
      <c r="B89" s="371"/>
      <c r="C89" s="372"/>
      <c r="D89" s="37">
        <f>SUM(D83:D88)</f>
        <v>3.4099999999999991E-2</v>
      </c>
      <c r="E89" s="35">
        <v>75.400000000000006</v>
      </c>
      <c r="F89" s="35">
        <v>78.150000000000006</v>
      </c>
      <c r="G89" s="35">
        <v>78.150000000000006</v>
      </c>
      <c r="H89" s="35">
        <v>82.85</v>
      </c>
      <c r="I89" s="35">
        <f>ROUND(SUM(I83:I88),2)</f>
        <v>82.85</v>
      </c>
      <c r="J89" s="35">
        <f>ROUND(SUM(J83:J88),2)</f>
        <v>91.9</v>
      </c>
    </row>
    <row r="90" spans="1:10" x14ac:dyDescent="0.2">
      <c r="E90" s="10"/>
      <c r="F90" s="10"/>
    </row>
    <row r="91" spans="1:10" ht="12.75" customHeight="1" x14ac:dyDescent="0.2">
      <c r="A91" s="373" t="s">
        <v>93</v>
      </c>
      <c r="B91" s="374"/>
      <c r="C91" s="374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366" t="s">
        <v>155</v>
      </c>
      <c r="C92" s="382"/>
      <c r="D92" s="129">
        <f>((D56)*(D45+D89))</f>
        <v>9.0305920000000012E-2</v>
      </c>
      <c r="E92" s="34">
        <v>199.69</v>
      </c>
      <c r="F92" s="34">
        <v>206.97</v>
      </c>
      <c r="G92" s="34">
        <v>206.97</v>
      </c>
      <c r="H92" s="263">
        <v>219.41</v>
      </c>
      <c r="I92" s="34">
        <v>219.41</v>
      </c>
      <c r="J92" s="34">
        <f>ROUND(D92*$K$39,2)</f>
        <v>243.39</v>
      </c>
    </row>
    <row r="93" spans="1:10" ht="12.75" customHeight="1" x14ac:dyDescent="0.2">
      <c r="A93" s="370" t="s">
        <v>156</v>
      </c>
      <c r="B93" s="371"/>
      <c r="C93" s="371"/>
      <c r="D93" s="130">
        <f>D92</f>
        <v>9.0305920000000012E-2</v>
      </c>
      <c r="E93" s="128">
        <v>199.69</v>
      </c>
      <c r="F93" s="128">
        <v>206.97</v>
      </c>
      <c r="G93" s="128">
        <v>206.97</v>
      </c>
      <c r="H93" s="128">
        <v>219.41</v>
      </c>
      <c r="I93" s="128">
        <f>ROUND(SUM(I92:I92),2)</f>
        <v>219.41</v>
      </c>
      <c r="J93" s="128">
        <f>ROUND(SUM(J92:J92),2)</f>
        <v>243.39</v>
      </c>
    </row>
    <row r="94" spans="1:10" x14ac:dyDescent="0.2">
      <c r="E94" s="10"/>
      <c r="F94" s="10"/>
    </row>
    <row r="95" spans="1:10" ht="12.75" customHeight="1" x14ac:dyDescent="0.2">
      <c r="A95" s="373" t="s">
        <v>142</v>
      </c>
      <c r="B95" s="374"/>
      <c r="C95" s="374"/>
      <c r="D95" s="375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366" t="s">
        <v>251</v>
      </c>
      <c r="C96" s="382"/>
      <c r="D96" s="367"/>
      <c r="E96" s="34">
        <v>74.03</v>
      </c>
      <c r="F96" s="34">
        <v>76.73</v>
      </c>
      <c r="G96" s="34">
        <v>76.73</v>
      </c>
      <c r="H96" s="263">
        <v>81.34</v>
      </c>
      <c r="I96" s="34">
        <f>ROUND((I21/220)*M16*1.5*0.25,2)</f>
        <v>81.34</v>
      </c>
      <c r="J96" s="34">
        <f>ROUND((J21/220)*M16*1.5*0.25,2)</f>
        <v>90.23</v>
      </c>
    </row>
    <row r="97" spans="1:16" ht="12.75" customHeight="1" x14ac:dyDescent="0.2">
      <c r="A97" s="370" t="s">
        <v>156</v>
      </c>
      <c r="B97" s="371"/>
      <c r="C97" s="371"/>
      <c r="D97" s="372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81.34</v>
      </c>
      <c r="J97" s="35">
        <f>ROUND(SUM(J96:J96),2)</f>
        <v>90.23</v>
      </c>
    </row>
    <row r="98" spans="1:16" ht="33" customHeight="1" x14ac:dyDescent="0.2">
      <c r="A98" s="383" t="s">
        <v>143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100" spans="1:16" ht="12.75" customHeight="1" x14ac:dyDescent="0.2">
      <c r="A100" s="381" t="s">
        <v>99</v>
      </c>
      <c r="B100" s="381"/>
      <c r="C100" s="381"/>
      <c r="D100" s="381"/>
      <c r="E100" s="381"/>
      <c r="F100" s="381"/>
      <c r="G100" s="381"/>
      <c r="H100" s="381"/>
      <c r="I100" s="381"/>
      <c r="J100" s="381"/>
    </row>
    <row r="101" spans="1:16" ht="12.75" customHeight="1" x14ac:dyDescent="0.2">
      <c r="A101" s="381" t="s">
        <v>100</v>
      </c>
      <c r="B101" s="381"/>
      <c r="C101" s="381"/>
      <c r="D101" s="381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376" t="s">
        <v>95</v>
      </c>
      <c r="C102" s="376"/>
      <c r="D102" s="376"/>
      <c r="E102" s="25">
        <v>275.08999999999997</v>
      </c>
      <c r="F102" s="25">
        <v>285.12</v>
      </c>
      <c r="G102" s="25">
        <v>285.12</v>
      </c>
      <c r="H102" s="257">
        <v>302.26</v>
      </c>
      <c r="I102" s="25">
        <v>302.26</v>
      </c>
      <c r="J102" s="25">
        <f>ROUND(J89+J93,2)</f>
        <v>335.29</v>
      </c>
    </row>
    <row r="103" spans="1:16" x14ac:dyDescent="0.2">
      <c r="A103" s="48" t="s">
        <v>27</v>
      </c>
      <c r="B103" s="376" t="s">
        <v>101</v>
      </c>
      <c r="C103" s="376"/>
      <c r="D103" s="376"/>
      <c r="E103" s="25">
        <v>74.03</v>
      </c>
      <c r="F103" s="25">
        <v>76.73</v>
      </c>
      <c r="G103" s="25">
        <v>76.73</v>
      </c>
      <c r="H103" s="257">
        <v>81.34</v>
      </c>
      <c r="I103" s="25">
        <f>I97</f>
        <v>81.34</v>
      </c>
      <c r="J103" s="25">
        <f>J97</f>
        <v>90.23</v>
      </c>
    </row>
    <row r="104" spans="1:16" s="137" customFormat="1" ht="12.75" customHeight="1" x14ac:dyDescent="0.2">
      <c r="A104" s="369" t="s">
        <v>102</v>
      </c>
      <c r="B104" s="369"/>
      <c r="C104" s="369"/>
      <c r="D104" s="369"/>
      <c r="E104" s="35">
        <v>349.12</v>
      </c>
      <c r="F104" s="35">
        <v>361.85</v>
      </c>
      <c r="G104" s="35">
        <v>361.85</v>
      </c>
      <c r="H104" s="35">
        <v>383.6</v>
      </c>
      <c r="I104" s="35">
        <f>ROUND(SUM(I102:I103),2)</f>
        <v>383.6</v>
      </c>
      <c r="J104" s="35">
        <f>ROUND(SUM(J102:J103),2)</f>
        <v>425.52</v>
      </c>
      <c r="K104" s="9"/>
      <c r="L104" s="9"/>
      <c r="N104" s="9"/>
      <c r="O104" s="9"/>
      <c r="P104" s="9"/>
    </row>
    <row r="106" spans="1:16" s="137" customFormat="1" x14ac:dyDescent="0.2">
      <c r="A106" s="373" t="s">
        <v>103</v>
      </c>
      <c r="B106" s="374"/>
      <c r="C106" s="374"/>
      <c r="D106" s="374"/>
      <c r="E106" s="374"/>
      <c r="F106" s="374"/>
      <c r="G106" s="374"/>
      <c r="H106" s="374"/>
      <c r="I106" s="374"/>
      <c r="J106" s="375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373" t="s">
        <v>104</v>
      </c>
      <c r="C107" s="375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366" t="s">
        <v>129</v>
      </c>
      <c r="C108" s="367"/>
      <c r="D108" s="38" t="s">
        <v>76</v>
      </c>
      <c r="E108" s="34">
        <v>17</v>
      </c>
      <c r="F108" s="34">
        <v>17</v>
      </c>
      <c r="G108" s="34">
        <v>17</v>
      </c>
      <c r="H108" s="263">
        <v>17</v>
      </c>
      <c r="I108" s="34">
        <v>17</v>
      </c>
      <c r="J108" s="279">
        <f>'Uniformes e Equiptos'!H12</f>
        <v>18.72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366" t="s">
        <v>190</v>
      </c>
      <c r="C109" s="367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263">
        <v>17.690000000000001</v>
      </c>
      <c r="I109" s="34">
        <v>17.690000000000001</v>
      </c>
      <c r="J109" s="279">
        <f>'Uniformes e Equiptos'!H41</f>
        <v>19.46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366" t="s">
        <v>187</v>
      </c>
      <c r="C110" s="367"/>
      <c r="D110" s="38" t="s">
        <v>76</v>
      </c>
      <c r="E110" s="34">
        <v>0</v>
      </c>
      <c r="F110" s="34">
        <v>0</v>
      </c>
      <c r="G110" s="34">
        <v>0</v>
      </c>
      <c r="H110" s="263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370" t="s">
        <v>156</v>
      </c>
      <c r="B111" s="371"/>
      <c r="C111" s="372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38.18</v>
      </c>
      <c r="K111" s="9"/>
      <c r="L111" s="9"/>
      <c r="N111" s="9"/>
      <c r="O111" s="9"/>
      <c r="P111" s="9"/>
    </row>
    <row r="113" spans="1:16" s="137" customFormat="1" x14ac:dyDescent="0.2">
      <c r="A113" s="373" t="s">
        <v>105</v>
      </c>
      <c r="B113" s="374"/>
      <c r="C113" s="374"/>
      <c r="D113" s="374"/>
      <c r="E113" s="374"/>
      <c r="F113" s="374"/>
      <c r="G113" s="374"/>
      <c r="H113" s="374"/>
      <c r="I113" s="374"/>
      <c r="J113" s="375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373" t="s">
        <v>106</v>
      </c>
      <c r="C114" s="375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366" t="s">
        <v>297</v>
      </c>
      <c r="C115" s="367"/>
      <c r="D115" s="51">
        <v>0.03</v>
      </c>
      <c r="E115" s="34">
        <v>126.76</v>
      </c>
      <c r="F115" s="34">
        <v>131.06</v>
      </c>
      <c r="G115" s="34">
        <v>131.09</v>
      </c>
      <c r="H115" s="263">
        <v>138.38999999999999</v>
      </c>
      <c r="I115" s="34">
        <v>138.57</v>
      </c>
      <c r="J115" s="34">
        <f>ROUND(J130*D115,2)</f>
        <v>152.75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44.39</v>
      </c>
      <c r="F116" s="34">
        <v>45.9</v>
      </c>
      <c r="G116" s="34">
        <v>45.91</v>
      </c>
      <c r="H116" s="263">
        <v>48.46</v>
      </c>
      <c r="I116" s="34">
        <v>48.53</v>
      </c>
      <c r="J116" s="34">
        <f>ROUND((J130+J115)*D116,2)</f>
        <v>53.49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378" t="s">
        <v>298</v>
      </c>
      <c r="C117" s="379"/>
      <c r="D117" s="54"/>
      <c r="E117" s="55"/>
      <c r="F117" s="55"/>
      <c r="G117" s="55"/>
      <c r="H117" s="264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366" t="s">
        <v>13</v>
      </c>
      <c r="C118" s="367"/>
      <c r="D118" s="51">
        <v>6.4999999999999997E-3</v>
      </c>
      <c r="E118" s="34">
        <v>30.45</v>
      </c>
      <c r="F118" s="34">
        <v>31.48</v>
      </c>
      <c r="G118" s="34">
        <v>31.49</v>
      </c>
      <c r="H118" s="263">
        <v>33.24</v>
      </c>
      <c r="I118" s="34">
        <v>33.29</v>
      </c>
      <c r="J118" s="34">
        <f>ROUND((($J$130+$J$115+$J$116)/(1-($D$118+$D$119+$D$120)))*D118,2)</f>
        <v>36.69</v>
      </c>
      <c r="K118" s="364"/>
      <c r="L118" s="365"/>
      <c r="N118" s="9"/>
      <c r="O118" s="9"/>
      <c r="P118" s="9"/>
    </row>
    <row r="119" spans="1:16" s="137" customFormat="1" x14ac:dyDescent="0.2">
      <c r="A119" s="32" t="s">
        <v>108</v>
      </c>
      <c r="B119" s="366" t="s">
        <v>14</v>
      </c>
      <c r="C119" s="367"/>
      <c r="D119" s="51">
        <v>0.03</v>
      </c>
      <c r="E119" s="34">
        <v>140.53</v>
      </c>
      <c r="F119" s="34">
        <v>145.30000000000001</v>
      </c>
      <c r="G119" s="34">
        <v>145.34</v>
      </c>
      <c r="H119" s="263">
        <v>153.43</v>
      </c>
      <c r="I119" s="34">
        <v>153.63</v>
      </c>
      <c r="J119" s="34">
        <f>ROUND((($J$130+$J$115+$J$116)/(1-($D$118+$D$119+$D$120)))*D119,2)</f>
        <v>169.36</v>
      </c>
      <c r="K119" s="364"/>
      <c r="L119" s="365"/>
      <c r="N119" s="9"/>
      <c r="O119" s="9"/>
      <c r="P119" s="9"/>
    </row>
    <row r="120" spans="1:16" x14ac:dyDescent="0.2">
      <c r="A120" s="32" t="s">
        <v>109</v>
      </c>
      <c r="B120" s="366" t="s">
        <v>30</v>
      </c>
      <c r="C120" s="367"/>
      <c r="D120" s="51">
        <f>M9</f>
        <v>2.5000000000000001E-2</v>
      </c>
      <c r="E120" s="34">
        <v>117.11</v>
      </c>
      <c r="F120" s="34">
        <v>121.08</v>
      </c>
      <c r="G120" s="34">
        <v>121.11</v>
      </c>
      <c r="H120" s="263">
        <v>127.86</v>
      </c>
      <c r="I120" s="34">
        <v>128.03</v>
      </c>
      <c r="J120" s="34">
        <f>ROUND((($J$130+$J$115+$J$116)/(1-($D$118+$D$119+$D$120)))*D120,2)</f>
        <v>141.13</v>
      </c>
    </row>
    <row r="121" spans="1:16" ht="12.75" customHeight="1" x14ac:dyDescent="0.2">
      <c r="A121" s="370" t="s">
        <v>157</v>
      </c>
      <c r="B121" s="371"/>
      <c r="C121" s="372"/>
      <c r="D121" s="47">
        <f>SUM(D115:D120)</f>
        <v>0.10169999999999998</v>
      </c>
      <c r="E121" s="31">
        <v>459.24</v>
      </c>
      <c r="F121" s="31">
        <v>474.82</v>
      </c>
      <c r="G121" s="31">
        <v>474.94000000000005</v>
      </c>
      <c r="H121" s="31">
        <v>501.38</v>
      </c>
      <c r="I121" s="31">
        <f>SUM(I115:I120)</f>
        <v>502.04999999999995</v>
      </c>
      <c r="J121" s="31">
        <f>SUM(J115:J120)</f>
        <v>553.42000000000007</v>
      </c>
    </row>
    <row r="123" spans="1:16" ht="12.75" customHeight="1" x14ac:dyDescent="0.2">
      <c r="A123" s="381" t="s">
        <v>110</v>
      </c>
      <c r="B123" s="381"/>
      <c r="C123" s="381"/>
      <c r="D123" s="381"/>
      <c r="E123" s="381"/>
      <c r="F123" s="381"/>
      <c r="G123" s="381"/>
      <c r="H123" s="381"/>
      <c r="I123" s="381"/>
      <c r="J123" s="381"/>
    </row>
    <row r="124" spans="1:16" ht="12.75" customHeight="1" x14ac:dyDescent="0.2">
      <c r="A124" s="381" t="s">
        <v>111</v>
      </c>
      <c r="B124" s="381"/>
      <c r="C124" s="381"/>
      <c r="D124" s="381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376" t="s">
        <v>65</v>
      </c>
      <c r="C125" s="376"/>
      <c r="D125" s="376"/>
      <c r="E125" s="25">
        <v>2249.62</v>
      </c>
      <c r="F125" s="25">
        <v>2331.67</v>
      </c>
      <c r="G125" s="25">
        <v>2331.67</v>
      </c>
      <c r="H125" s="257">
        <v>2471.83</v>
      </c>
      <c r="I125" s="25">
        <v>2471.83</v>
      </c>
      <c r="J125" s="25">
        <f>J39</f>
        <v>2741.93</v>
      </c>
    </row>
    <row r="126" spans="1:16" x14ac:dyDescent="0.2">
      <c r="A126" s="136" t="s">
        <v>1</v>
      </c>
      <c r="B126" s="376" t="s">
        <v>68</v>
      </c>
      <c r="C126" s="376"/>
      <c r="D126" s="376"/>
      <c r="E126" s="25">
        <v>1466.38</v>
      </c>
      <c r="F126" s="25">
        <v>1510.35</v>
      </c>
      <c r="G126" s="25">
        <v>1534.35</v>
      </c>
      <c r="H126" s="257">
        <v>1609.48</v>
      </c>
      <c r="I126" s="25">
        <v>1615.48</v>
      </c>
      <c r="J126" s="25">
        <f>J69</f>
        <v>1760.27</v>
      </c>
    </row>
    <row r="127" spans="1:16" x14ac:dyDescent="0.2">
      <c r="A127" s="136" t="s">
        <v>2</v>
      </c>
      <c r="B127" s="376" t="s">
        <v>84</v>
      </c>
      <c r="C127" s="376"/>
      <c r="D127" s="376"/>
      <c r="E127" s="25">
        <v>125.39</v>
      </c>
      <c r="F127" s="25">
        <v>129.96</v>
      </c>
      <c r="G127" s="25">
        <v>107.05</v>
      </c>
      <c r="H127" s="257">
        <v>113.46</v>
      </c>
      <c r="I127" s="25">
        <v>113.46</v>
      </c>
      <c r="J127" s="25">
        <f>J79</f>
        <v>125.86</v>
      </c>
    </row>
    <row r="128" spans="1:16" x14ac:dyDescent="0.2">
      <c r="A128" s="56" t="s">
        <v>3</v>
      </c>
      <c r="B128" s="376" t="s">
        <v>92</v>
      </c>
      <c r="C128" s="376"/>
      <c r="D128" s="376"/>
      <c r="E128" s="25">
        <v>349.12</v>
      </c>
      <c r="F128" s="25">
        <v>361.85</v>
      </c>
      <c r="G128" s="25">
        <v>361.85</v>
      </c>
      <c r="H128" s="257">
        <v>383.6</v>
      </c>
      <c r="I128" s="25">
        <v>383.6</v>
      </c>
      <c r="J128" s="25">
        <f>J104</f>
        <v>425.52</v>
      </c>
      <c r="L128" s="218"/>
    </row>
    <row r="129" spans="1:12" x14ac:dyDescent="0.2">
      <c r="A129" s="57" t="s">
        <v>4</v>
      </c>
      <c r="B129" s="376" t="s">
        <v>103</v>
      </c>
      <c r="C129" s="376"/>
      <c r="D129" s="376"/>
      <c r="E129" s="58">
        <v>34.69</v>
      </c>
      <c r="F129" s="58">
        <v>34.69</v>
      </c>
      <c r="G129" s="58">
        <v>34.69</v>
      </c>
      <c r="H129" s="265">
        <v>34.69</v>
      </c>
      <c r="I129" s="58">
        <v>34.69</v>
      </c>
      <c r="J129" s="58">
        <f>J111</f>
        <v>38.18</v>
      </c>
      <c r="L129" s="218"/>
    </row>
    <row r="130" spans="1:12" x14ac:dyDescent="0.2">
      <c r="A130" s="59"/>
      <c r="B130" s="377" t="s">
        <v>112</v>
      </c>
      <c r="C130" s="377"/>
      <c r="D130" s="377"/>
      <c r="E130" s="60">
        <v>4225.2</v>
      </c>
      <c r="F130" s="60">
        <v>4368.5199999999995</v>
      </c>
      <c r="G130" s="60">
        <v>4369.6099999999997</v>
      </c>
      <c r="H130" s="60">
        <v>4613.0599999999995</v>
      </c>
      <c r="I130" s="60">
        <v>4619.0599999999995</v>
      </c>
      <c r="J130" s="60">
        <f>SUM(J125:J129)</f>
        <v>5091.76</v>
      </c>
    </row>
    <row r="131" spans="1:12" x14ac:dyDescent="0.2">
      <c r="A131" s="136" t="s">
        <v>5</v>
      </c>
      <c r="B131" s="376" t="s">
        <v>105</v>
      </c>
      <c r="C131" s="376"/>
      <c r="D131" s="376"/>
      <c r="E131" s="25">
        <v>459.24</v>
      </c>
      <c r="F131" s="25">
        <v>474.82</v>
      </c>
      <c r="G131" s="25">
        <v>474.94000000000005</v>
      </c>
      <c r="H131" s="257">
        <v>501.38</v>
      </c>
      <c r="I131" s="25">
        <v>502.04999999999995</v>
      </c>
      <c r="J131" s="25">
        <f>J121</f>
        <v>553.42000000000007</v>
      </c>
    </row>
    <row r="132" spans="1:12" x14ac:dyDescent="0.2">
      <c r="A132" s="369" t="s">
        <v>113</v>
      </c>
      <c r="B132" s="369"/>
      <c r="C132" s="369"/>
      <c r="D132" s="369"/>
      <c r="E132" s="119">
        <v>4684.4399999999996</v>
      </c>
      <c r="F132" s="119">
        <v>4843.34</v>
      </c>
      <c r="G132" s="119">
        <v>4844.55</v>
      </c>
      <c r="H132" s="119">
        <v>5114.4399999999996</v>
      </c>
      <c r="I132" s="119">
        <v>5121.1099999999997</v>
      </c>
      <c r="J132" s="119">
        <f>ROUND(SUM(J130:J131),2)</f>
        <v>5645.18</v>
      </c>
    </row>
    <row r="133" spans="1:12" x14ac:dyDescent="0.2">
      <c r="A133" s="380" t="s">
        <v>140</v>
      </c>
      <c r="B133" s="380"/>
      <c r="C133" s="380"/>
      <c r="D133" s="380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x14ac:dyDescent="0.2">
      <c r="A134" s="368" t="s">
        <v>141</v>
      </c>
      <c r="B134" s="368"/>
      <c r="C134" s="368"/>
      <c r="D134" s="368"/>
      <c r="E134" s="233">
        <v>4684.4399999999996</v>
      </c>
      <c r="F134" s="233">
        <v>4843.34</v>
      </c>
      <c r="G134" s="111">
        <v>4844.55</v>
      </c>
      <c r="H134" s="111">
        <v>5114.4399999999996</v>
      </c>
      <c r="I134" s="111">
        <f>ROUND(I132*I133,2)</f>
        <v>5121.1099999999997</v>
      </c>
      <c r="J134" s="111">
        <f>ROUND(J132*J133,2)</f>
        <v>5645.18</v>
      </c>
    </row>
  </sheetData>
  <mergeCells count="123"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11</vt:i4>
      </vt:variant>
    </vt:vector>
  </HeadingPairs>
  <TitlesOfParts>
    <vt:vector size="23" baseType="lpstr">
      <vt:lpstr>Proposta</vt:lpstr>
      <vt:lpstr>44 Diurno Desarm </vt:lpstr>
      <vt:lpstr>12 x 36 Diurno Desarm</vt:lpstr>
      <vt:lpstr>12 x 36 Noturno Desarm</vt:lpstr>
      <vt:lpstr>12 x 36 Diurno Desarm- 2ª a Sáb</vt:lpstr>
      <vt:lpstr>12x36 Noturno Desarm- 2ª a Sáb</vt:lpstr>
      <vt:lpstr>12 x 36 Diurno Arm</vt:lpstr>
      <vt:lpstr>12 x 36 Noturno Arm</vt:lpstr>
      <vt:lpstr>6 hs Noturno CFTV</vt:lpstr>
      <vt:lpstr>6 hs Diurno CFTV</vt:lpstr>
      <vt:lpstr>Encargos Sociais</vt:lpstr>
      <vt:lpstr>Uniformes e Equiptos</vt:lpstr>
      <vt:lpstr>'12 x 36 Diurno Arm'!Area_de_impressao</vt:lpstr>
      <vt:lpstr>'12 x 36 Diurno Desarm'!Area_de_impressao</vt:lpstr>
      <vt:lpstr>'12 x 36 Diurno Desarm- 2ª a Sáb'!Area_de_impressao</vt:lpstr>
      <vt:lpstr>'12 x 36 Noturno Arm'!Area_de_impressao</vt:lpstr>
      <vt:lpstr>'12 x 36 Noturno Desarm'!Area_de_impressao</vt:lpstr>
      <vt:lpstr>'12x36 Noturno Desarm- 2ª a Sáb'!Area_de_impressao</vt:lpstr>
      <vt:lpstr>'44 Diurno Desarm '!Area_de_impressao</vt:lpstr>
      <vt:lpstr>'6 hs Diurno CFTV'!Area_de_impressao</vt:lpstr>
      <vt:lpstr>'6 hs Noturno CFTV'!Area_de_impressao</vt:lpstr>
      <vt:lpstr>'Encargos Sociais'!Area_de_impressao</vt:lpstr>
      <vt:lpstr>Proposta!Area_de_impressao</vt:lpstr>
    </vt:vector>
  </TitlesOfParts>
  <Company>ONDREPSB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Graciano de Amorim</dc:creator>
  <cp:lastModifiedBy>Deyse Cristiane - Comercial Repactuação</cp:lastModifiedBy>
  <cp:lastPrinted>2019-05-09T12:28:08Z</cp:lastPrinted>
  <dcterms:created xsi:type="dcterms:W3CDTF">1999-03-03T15:17:50Z</dcterms:created>
  <dcterms:modified xsi:type="dcterms:W3CDTF">2022-09-30T13:22:18Z</dcterms:modified>
</cp:coreProperties>
</file>