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E:\PLANILHAS DE CUSTO\LICITAÇÃO VIGILÂNCIA 2018\"/>
    </mc:Choice>
  </mc:AlternateContent>
  <xr:revisionPtr revIDLastSave="0" documentId="13_ncr:1_{DB9A6439-D2EF-46AB-966C-1A1C89B3B856}" xr6:coauthVersionLast="36" xr6:coauthVersionMax="36" xr10:uidLastSave="{00000000-0000-0000-0000-000000000000}"/>
  <bookViews>
    <workbookView xWindow="0" yWindow="0" windowWidth="10670" windowHeight="4510" tabRatio="958" xr2:uid="{00000000-000D-0000-FFFF-FFFF00000000}"/>
  </bookViews>
  <sheets>
    <sheet name="Proposta" sheetId="92" r:id="rId1"/>
    <sheet name="44 Diurno Desarm " sheetId="121" r:id="rId2"/>
    <sheet name="12 x 36 Diurno Desarm" sheetId="106" r:id="rId3"/>
    <sheet name="12 x 36 Noturno Desarm" sheetId="116" r:id="rId4"/>
    <sheet name="12 x 36 Diurno Desarm- 2ª a Sáb" sheetId="127" r:id="rId5"/>
    <sheet name="12 x 36 Diurno Arm" sheetId="122" r:id="rId6"/>
    <sheet name="12 x 36 Noturno Arm" sheetId="123" r:id="rId7"/>
    <sheet name="6 hs Noturno CFTV" sheetId="124" r:id="rId8"/>
    <sheet name="6 hs Diurno CFTV" sheetId="125" r:id="rId9"/>
    <sheet name="Encargos Sociais" sheetId="107" r:id="rId10"/>
    <sheet name="Uniformes e Equiptos" sheetId="126" r:id="rId11"/>
  </sheets>
  <definedNames>
    <definedName name="_xlnm.Print_Area" localSheetId="5">'12 x 36 Diurno Arm'!$A$1:$J$134</definedName>
    <definedName name="_xlnm.Print_Area" localSheetId="2">'12 x 36 Diurno Desarm'!$A$1:$J$134</definedName>
    <definedName name="_xlnm.Print_Area" localSheetId="4">'12 x 36 Diurno Desarm- 2ª a Sáb'!$A$1:$J$134</definedName>
    <definedName name="_xlnm.Print_Area" localSheetId="6">'12 x 36 Noturno Arm'!$A$1:$J$134</definedName>
    <definedName name="_xlnm.Print_Area" localSheetId="3">'12 x 36 Noturno Desarm'!$A$1:$J$134</definedName>
    <definedName name="_xlnm.Print_Area" localSheetId="1">'44 Diurno Desarm '!$A$1:$J$134</definedName>
    <definedName name="_xlnm.Print_Area" localSheetId="8">'6 hs Diurno CFTV'!$A$1:$J$134</definedName>
    <definedName name="_xlnm.Print_Area" localSheetId="7">'6 hs Noturno CFTV'!$A$1:$J$134</definedName>
    <definedName name="_xlnm.Print_Area" localSheetId="9">'Encargos Sociais'!$A$1:$F$117</definedName>
    <definedName name="_xlnm.Print_Area" localSheetId="0">Proposta!$A$1:$G$342</definedName>
    <definedName name="CPMF" localSheetId="9">#REF!</definedName>
    <definedName name="CPMF">#REF!</definedName>
    <definedName name="Excel_BuiltIn_Print_Area_1_1">"$#REF!.$A$2:$C$99"</definedName>
  </definedNames>
  <calcPr calcId="191029"/>
</workbook>
</file>

<file path=xl/calcChain.xml><?xml version="1.0" encoding="utf-8"?>
<calcChain xmlns="http://schemas.openxmlformats.org/spreadsheetml/2006/main">
  <c r="F21" i="126" l="1"/>
  <c r="F20" i="126"/>
  <c r="F17" i="126"/>
  <c r="F40" i="126" l="1"/>
  <c r="F35" i="126"/>
  <c r="F33" i="126"/>
  <c r="F28" i="126"/>
  <c r="F23" i="126"/>
  <c r="F19" i="126"/>
  <c r="F22" i="126" l="1"/>
  <c r="I96" i="106" l="1"/>
  <c r="I96" i="116"/>
  <c r="I96" i="127"/>
  <c r="I96" i="122"/>
  <c r="I96" i="123"/>
  <c r="I96" i="125"/>
  <c r="I96" i="124"/>
  <c r="F39" i="126" l="1"/>
  <c r="F38" i="126"/>
  <c r="F37" i="126"/>
  <c r="F36" i="126"/>
  <c r="F34" i="126"/>
  <c r="F24" i="126"/>
  <c r="F27" i="126"/>
  <c r="F26" i="126"/>
  <c r="F25" i="126"/>
  <c r="F18" i="126"/>
  <c r="F4" i="126"/>
  <c r="F5" i="126"/>
  <c r="F6" i="126"/>
  <c r="F7" i="126"/>
  <c r="F8" i="126"/>
  <c r="F9" i="126"/>
  <c r="F10" i="126"/>
  <c r="F11" i="126"/>
  <c r="F3" i="126"/>
  <c r="I28" i="106"/>
  <c r="I28" i="116"/>
  <c r="I28" i="127"/>
  <c r="I28" i="122"/>
  <c r="I28" i="123"/>
  <c r="I28" i="124"/>
  <c r="I28" i="125"/>
  <c r="I28" i="121"/>
  <c r="I111" i="106"/>
  <c r="I97" i="106"/>
  <c r="I103" i="106" s="1"/>
  <c r="I93" i="106"/>
  <c r="I89" i="106"/>
  <c r="I79" i="106"/>
  <c r="I62" i="106"/>
  <c r="I56" i="106"/>
  <c r="I45" i="106"/>
  <c r="I26" i="106"/>
  <c r="I25" i="106"/>
  <c r="I24" i="106"/>
  <c r="I27" i="106" s="1"/>
  <c r="I111" i="116"/>
  <c r="I97" i="116"/>
  <c r="I103" i="116" s="1"/>
  <c r="I93" i="116"/>
  <c r="I79" i="116"/>
  <c r="I62" i="116"/>
  <c r="I45" i="116"/>
  <c r="I27" i="116"/>
  <c r="I24" i="116"/>
  <c r="I26" i="116" s="1"/>
  <c r="I97" i="127"/>
  <c r="I103" i="127" s="1"/>
  <c r="I93" i="127"/>
  <c r="I89" i="127"/>
  <c r="I79" i="127"/>
  <c r="I62" i="127"/>
  <c r="I56" i="127"/>
  <c r="I45" i="127"/>
  <c r="I39" i="127"/>
  <c r="I25" i="127"/>
  <c r="I24" i="127"/>
  <c r="I26" i="127" s="1"/>
  <c r="I111" i="122"/>
  <c r="I97" i="122"/>
  <c r="I103" i="122" s="1"/>
  <c r="I93" i="122"/>
  <c r="I89" i="122"/>
  <c r="I79" i="122"/>
  <c r="I62" i="122"/>
  <c r="I56" i="122"/>
  <c r="I24" i="122"/>
  <c r="I27" i="122" s="1"/>
  <c r="I111" i="123"/>
  <c r="I97" i="123"/>
  <c r="I103" i="123" s="1"/>
  <c r="I93" i="123"/>
  <c r="I89" i="123"/>
  <c r="I79" i="123"/>
  <c r="I62" i="123"/>
  <c r="I56" i="123"/>
  <c r="I45" i="123"/>
  <c r="I27" i="123"/>
  <c r="I26" i="123"/>
  <c r="I25" i="123"/>
  <c r="I24" i="123"/>
  <c r="I111" i="124"/>
  <c r="I97" i="124"/>
  <c r="I103" i="124" s="1"/>
  <c r="I93" i="124"/>
  <c r="I89" i="124"/>
  <c r="I79" i="124"/>
  <c r="I62" i="124"/>
  <c r="I45" i="124"/>
  <c r="I24" i="124"/>
  <c r="I27" i="124" s="1"/>
  <c r="I111" i="125"/>
  <c r="I97" i="125"/>
  <c r="I103" i="125" s="1"/>
  <c r="I93" i="125"/>
  <c r="I89" i="125"/>
  <c r="I104" i="125" s="1"/>
  <c r="I79" i="125"/>
  <c r="I62" i="125"/>
  <c r="I56" i="125"/>
  <c r="I45" i="125"/>
  <c r="I24" i="125"/>
  <c r="I27" i="125" s="1"/>
  <c r="I97" i="121"/>
  <c r="I103" i="121" s="1"/>
  <c r="I93" i="121"/>
  <c r="I89" i="121"/>
  <c r="I79" i="121"/>
  <c r="I62" i="121"/>
  <c r="I56" i="121"/>
  <c r="I24" i="121"/>
  <c r="I25" i="121" s="1"/>
  <c r="K282" i="92"/>
  <c r="C282" i="92"/>
  <c r="E281" i="92"/>
  <c r="F281" i="92" s="1"/>
  <c r="E280" i="92"/>
  <c r="F280" i="92" s="1"/>
  <c r="E279" i="92"/>
  <c r="F279" i="92" s="1"/>
  <c r="E278" i="92"/>
  <c r="F278" i="92" s="1"/>
  <c r="P277" i="92"/>
  <c r="E277" i="92"/>
  <c r="F277" i="92" s="1"/>
  <c r="L277" i="92"/>
  <c r="P276" i="92"/>
  <c r="E276" i="92"/>
  <c r="F276" i="92" s="1"/>
  <c r="L276" i="92"/>
  <c r="E275" i="92"/>
  <c r="F275" i="92" s="1"/>
  <c r="L275" i="92"/>
  <c r="E274" i="92"/>
  <c r="F274" i="92" s="1"/>
  <c r="L274" i="92"/>
  <c r="E273" i="92"/>
  <c r="F273" i="92" s="1"/>
  <c r="L273" i="92"/>
  <c r="E272" i="92"/>
  <c r="F272" i="92" s="1"/>
  <c r="L271" i="92"/>
  <c r="L270" i="92"/>
  <c r="L269" i="92"/>
  <c r="I25" i="124" l="1"/>
  <c r="I25" i="122"/>
  <c r="I26" i="124"/>
  <c r="I26" i="122"/>
  <c r="I104" i="127"/>
  <c r="I25" i="116"/>
  <c r="P282" i="92"/>
  <c r="I27" i="121"/>
  <c r="I104" i="121"/>
  <c r="I104" i="124"/>
  <c r="I104" i="106"/>
  <c r="I69" i="123"/>
  <c r="I39" i="122"/>
  <c r="I69" i="106"/>
  <c r="I69" i="124"/>
  <c r="I69" i="125"/>
  <c r="I104" i="123"/>
  <c r="I104" i="122"/>
  <c r="I69" i="127"/>
  <c r="I39" i="121"/>
  <c r="I111" i="121"/>
  <c r="I25" i="125"/>
  <c r="I27" i="127"/>
  <c r="I111" i="127"/>
  <c r="I39" i="116"/>
  <c r="I89" i="116"/>
  <c r="I104" i="116" s="1"/>
  <c r="I26" i="125"/>
  <c r="I56" i="124"/>
  <c r="I26" i="121"/>
  <c r="I45" i="121"/>
  <c r="I69" i="121" s="1"/>
  <c r="I45" i="122"/>
  <c r="I69" i="122" s="1"/>
  <c r="I56" i="116"/>
  <c r="I69" i="116" s="1"/>
  <c r="E269" i="92"/>
  <c r="E270" i="92"/>
  <c r="F270" i="92" s="1"/>
  <c r="E271" i="92"/>
  <c r="F271" i="92" s="1"/>
  <c r="L278" i="92"/>
  <c r="L279" i="92"/>
  <c r="L280" i="92"/>
  <c r="L281" i="92"/>
  <c r="K171" i="92"/>
  <c r="L170" i="92"/>
  <c r="L169" i="92"/>
  <c r="L168" i="92"/>
  <c r="L167" i="92"/>
  <c r="P166" i="92"/>
  <c r="L166" i="92"/>
  <c r="P165" i="92"/>
  <c r="L165" i="92"/>
  <c r="L164" i="92"/>
  <c r="L163" i="92"/>
  <c r="L162" i="92"/>
  <c r="L161" i="92"/>
  <c r="L160" i="92"/>
  <c r="L159" i="92"/>
  <c r="L283" i="92" l="1"/>
  <c r="P171" i="92"/>
  <c r="I134" i="127"/>
  <c r="I121" i="127"/>
  <c r="I121" i="116"/>
  <c r="I39" i="123"/>
  <c r="I39" i="106"/>
  <c r="I39" i="125"/>
  <c r="I39" i="124"/>
  <c r="F269" i="92"/>
  <c r="F283" i="92" s="1"/>
  <c r="E283" i="92"/>
  <c r="H283" i="92" s="1"/>
  <c r="L282" i="92"/>
  <c r="L172" i="92"/>
  <c r="L171" i="92"/>
  <c r="I134" i="116" l="1"/>
  <c r="I121" i="124"/>
  <c r="I134" i="124"/>
  <c r="I134" i="106"/>
  <c r="I121" i="106"/>
  <c r="I121" i="122"/>
  <c r="I134" i="122"/>
  <c r="I121" i="125"/>
  <c r="I134" i="125"/>
  <c r="I121" i="123"/>
  <c r="I134" i="123"/>
  <c r="E286" i="92"/>
  <c r="E288" i="92" s="1"/>
  <c r="K149" i="92"/>
  <c r="L148" i="92"/>
  <c r="L147" i="92"/>
  <c r="L146" i="92"/>
  <c r="L145" i="92"/>
  <c r="P144" i="92"/>
  <c r="L144" i="92"/>
  <c r="P143" i="92"/>
  <c r="L143" i="92"/>
  <c r="L142" i="92"/>
  <c r="L141" i="92"/>
  <c r="L140" i="92"/>
  <c r="L139" i="92"/>
  <c r="L138" i="92"/>
  <c r="L137" i="92"/>
  <c r="P149" i="92" l="1"/>
  <c r="L150" i="92"/>
  <c r="L149" i="92"/>
  <c r="H150" i="92" l="1"/>
  <c r="L12" i="92" l="1"/>
  <c r="I13" i="92"/>
  <c r="L13" i="92"/>
  <c r="I14" i="92"/>
  <c r="L14" i="92"/>
  <c r="I15" i="92"/>
  <c r="L15" i="92"/>
  <c r="I16" i="92"/>
  <c r="I24" i="92" s="1"/>
  <c r="L16" i="92"/>
  <c r="I17" i="92"/>
  <c r="L17" i="92"/>
  <c r="L18" i="92"/>
  <c r="L19" i="92"/>
  <c r="L22" i="92"/>
  <c r="L23" i="92"/>
  <c r="J24" i="92"/>
  <c r="K24" i="92"/>
  <c r="L28" i="92"/>
  <c r="I29" i="92"/>
  <c r="L29" i="92"/>
  <c r="I30" i="92"/>
  <c r="L30" i="92"/>
  <c r="I31" i="92"/>
  <c r="L31" i="92"/>
  <c r="I32" i="92"/>
  <c r="L32" i="92"/>
  <c r="I33" i="92"/>
  <c r="L33" i="92"/>
  <c r="L34" i="92"/>
  <c r="L35" i="92"/>
  <c r="L38" i="92"/>
  <c r="L39" i="92"/>
  <c r="J40" i="92"/>
  <c r="K40" i="92"/>
  <c r="L45" i="92"/>
  <c r="I46" i="92"/>
  <c r="L46" i="92"/>
  <c r="I47" i="92"/>
  <c r="L47" i="92"/>
  <c r="I48" i="92"/>
  <c r="L48" i="92"/>
  <c r="I49" i="92"/>
  <c r="L49" i="92"/>
  <c r="I50" i="92"/>
  <c r="L50" i="92"/>
  <c r="L51" i="92"/>
  <c r="L52" i="92"/>
  <c r="L55" i="92"/>
  <c r="L56" i="92"/>
  <c r="J57" i="92"/>
  <c r="K57" i="92"/>
  <c r="K304" i="92"/>
  <c r="I57" i="92" l="1"/>
  <c r="I40" i="92"/>
  <c r="L24" i="92"/>
  <c r="L57" i="92"/>
  <c r="L40" i="92"/>
  <c r="C57" i="92" l="1"/>
  <c r="P52" i="92"/>
  <c r="P51" i="92"/>
  <c r="P57" i="92" l="1"/>
  <c r="E58" i="92"/>
  <c r="E62" i="92" s="1"/>
  <c r="F58" i="92"/>
  <c r="E64" i="92" l="1"/>
  <c r="C41" i="107"/>
  <c r="C55" i="107"/>
  <c r="P35" i="92" l="1"/>
  <c r="P34" i="92"/>
  <c r="P40" i="92" l="1"/>
  <c r="C24" i="92"/>
  <c r="P19" i="92"/>
  <c r="P18" i="92"/>
  <c r="P24" i="92" l="1"/>
  <c r="J28" i="125"/>
  <c r="P299" i="92" l="1"/>
  <c r="P298" i="92"/>
  <c r="J133" i="127"/>
  <c r="D120" i="127"/>
  <c r="D121" i="127" s="1"/>
  <c r="J110" i="127"/>
  <c r="J96" i="127"/>
  <c r="J97" i="127" s="1"/>
  <c r="J103" i="127" s="1"/>
  <c r="D88" i="127"/>
  <c r="D87" i="127"/>
  <c r="D86" i="127"/>
  <c r="D85" i="127"/>
  <c r="D84" i="127"/>
  <c r="D83" i="127"/>
  <c r="D89" i="127" s="1"/>
  <c r="D78" i="127"/>
  <c r="D77" i="127"/>
  <c r="D76" i="127"/>
  <c r="D75" i="127"/>
  <c r="D74" i="127"/>
  <c r="D73" i="127"/>
  <c r="B60" i="127"/>
  <c r="B59" i="127"/>
  <c r="D55" i="127"/>
  <c r="D54" i="127"/>
  <c r="D53" i="127"/>
  <c r="D52" i="127"/>
  <c r="D51" i="127"/>
  <c r="D50" i="127"/>
  <c r="D49" i="127"/>
  <c r="D48" i="127"/>
  <c r="D44" i="127"/>
  <c r="D43" i="127"/>
  <c r="D45" i="127" s="1"/>
  <c r="J32" i="127"/>
  <c r="J33" i="127" s="1"/>
  <c r="J28" i="127"/>
  <c r="J24" i="127"/>
  <c r="J27" i="127" s="1"/>
  <c r="M21" i="127"/>
  <c r="D120" i="125"/>
  <c r="D121" i="125" s="1"/>
  <c r="D120" i="124"/>
  <c r="D121" i="124" s="1"/>
  <c r="J110" i="125"/>
  <c r="J110" i="124"/>
  <c r="J96" i="125"/>
  <c r="J97" i="125" s="1"/>
  <c r="J103" i="125" s="1"/>
  <c r="J96" i="124"/>
  <c r="J97" i="124" s="1"/>
  <c r="J103" i="124" s="1"/>
  <c r="B60" i="125"/>
  <c r="B60" i="124"/>
  <c r="B59" i="125"/>
  <c r="B59" i="124"/>
  <c r="M21" i="125"/>
  <c r="M22" i="125" s="1"/>
  <c r="M23" i="125" s="1"/>
  <c r="G3" i="126"/>
  <c r="H3" i="126" s="1"/>
  <c r="G4" i="126"/>
  <c r="H4" i="126" s="1"/>
  <c r="G5" i="126"/>
  <c r="H5" i="126" s="1"/>
  <c r="G6" i="126"/>
  <c r="H6" i="126" s="1"/>
  <c r="G7" i="126"/>
  <c r="H7" i="126" s="1"/>
  <c r="G8" i="126"/>
  <c r="H8" i="126" s="1"/>
  <c r="G9" i="126"/>
  <c r="H9" i="126" s="1"/>
  <c r="G10" i="126"/>
  <c r="H10" i="126" s="1"/>
  <c r="G11" i="126"/>
  <c r="H11" i="126" s="1"/>
  <c r="G17" i="126"/>
  <c r="H17" i="126" s="1"/>
  <c r="G18" i="126"/>
  <c r="H18" i="126" s="1"/>
  <c r="G19" i="126"/>
  <c r="H19" i="126" s="1"/>
  <c r="G20" i="126"/>
  <c r="H20" i="126" s="1"/>
  <c r="G21" i="126"/>
  <c r="H21" i="126" s="1"/>
  <c r="G22" i="126"/>
  <c r="H22" i="126" s="1"/>
  <c r="G23" i="126"/>
  <c r="H23" i="126" s="1"/>
  <c r="G24" i="126"/>
  <c r="H24" i="126" s="1"/>
  <c r="G25" i="126"/>
  <c r="H25" i="126" s="1"/>
  <c r="G26" i="126"/>
  <c r="H26" i="126" s="1"/>
  <c r="G27" i="126"/>
  <c r="H27" i="126" s="1"/>
  <c r="G28" i="126"/>
  <c r="H28" i="126" s="1"/>
  <c r="G33" i="126"/>
  <c r="H33" i="126" s="1"/>
  <c r="G34" i="126"/>
  <c r="H34" i="126" s="1"/>
  <c r="G35" i="126"/>
  <c r="H35" i="126" s="1"/>
  <c r="G36" i="126"/>
  <c r="H36" i="126" s="1"/>
  <c r="G37" i="126"/>
  <c r="H37" i="126" s="1"/>
  <c r="G38" i="126"/>
  <c r="H38" i="126" s="1"/>
  <c r="G39" i="126"/>
  <c r="H39" i="126" s="1"/>
  <c r="G40" i="126"/>
  <c r="H40" i="126" s="1"/>
  <c r="J24" i="125"/>
  <c r="J26" i="125" s="1"/>
  <c r="J32" i="125"/>
  <c r="J34" i="125" s="1"/>
  <c r="J37" i="125" s="1"/>
  <c r="D48" i="125"/>
  <c r="D49" i="125"/>
  <c r="D51" i="125"/>
  <c r="D52" i="125"/>
  <c r="D53" i="125"/>
  <c r="D54" i="125"/>
  <c r="D55" i="125"/>
  <c r="J133" i="125"/>
  <c r="J24" i="124"/>
  <c r="J25" i="124" s="1"/>
  <c r="J28" i="124"/>
  <c r="J32" i="124"/>
  <c r="D48" i="124"/>
  <c r="D49" i="124"/>
  <c r="D51" i="124"/>
  <c r="D52" i="124"/>
  <c r="D53" i="124"/>
  <c r="D54" i="124"/>
  <c r="D55" i="124"/>
  <c r="J133" i="124"/>
  <c r="M21" i="124"/>
  <c r="M22" i="124" s="1"/>
  <c r="M23" i="124" s="1"/>
  <c r="J24" i="123"/>
  <c r="J25" i="123" s="1"/>
  <c r="J28" i="123"/>
  <c r="J32" i="123"/>
  <c r="J33" i="123" s="1"/>
  <c r="D48" i="123"/>
  <c r="D49" i="123"/>
  <c r="D51" i="123"/>
  <c r="D52" i="123"/>
  <c r="D53" i="123"/>
  <c r="D54" i="123"/>
  <c r="D55" i="123"/>
  <c r="B59" i="123"/>
  <c r="B60" i="123"/>
  <c r="J96" i="123"/>
  <c r="J97" i="123" s="1"/>
  <c r="J103" i="123" s="1"/>
  <c r="J110" i="123"/>
  <c r="D120" i="123"/>
  <c r="D121" i="123" s="1"/>
  <c r="J133" i="123"/>
  <c r="M21" i="123"/>
  <c r="M22" i="123" s="1"/>
  <c r="M23" i="123" s="1"/>
  <c r="J60" i="123" s="1"/>
  <c r="J24" i="122"/>
  <c r="J25" i="122" s="1"/>
  <c r="J28" i="122"/>
  <c r="J32" i="122"/>
  <c r="J33" i="122" s="1"/>
  <c r="D48" i="122"/>
  <c r="D49" i="122"/>
  <c r="D51" i="122"/>
  <c r="D52" i="122"/>
  <c r="D53" i="122"/>
  <c r="D54" i="122"/>
  <c r="D55" i="122"/>
  <c r="B59" i="122"/>
  <c r="B60" i="122"/>
  <c r="J96" i="122"/>
  <c r="J97" i="122" s="1"/>
  <c r="J103" i="122" s="1"/>
  <c r="J110" i="122"/>
  <c r="D120" i="122"/>
  <c r="D121" i="122" s="1"/>
  <c r="J133" i="122"/>
  <c r="M21" i="122"/>
  <c r="M22" i="122" s="1"/>
  <c r="J24" i="116"/>
  <c r="J27" i="116" s="1"/>
  <c r="J28" i="116"/>
  <c r="J32" i="116"/>
  <c r="J34" i="116" s="1"/>
  <c r="K37" i="116" s="1"/>
  <c r="D48" i="116"/>
  <c r="D49" i="116"/>
  <c r="D51" i="116"/>
  <c r="D52" i="116"/>
  <c r="D53" i="116"/>
  <c r="D54" i="116"/>
  <c r="D55" i="116"/>
  <c r="B59" i="116"/>
  <c r="B60" i="116"/>
  <c r="J96" i="116"/>
  <c r="J97" i="116" s="1"/>
  <c r="J103" i="116" s="1"/>
  <c r="J110" i="116"/>
  <c r="D120" i="116"/>
  <c r="J133" i="116"/>
  <c r="M21" i="116"/>
  <c r="M22" i="116" s="1"/>
  <c r="M23" i="116" s="1"/>
  <c r="J60" i="116" s="1"/>
  <c r="J24" i="106"/>
  <c r="J27" i="106" s="1"/>
  <c r="J28" i="106"/>
  <c r="J32" i="106"/>
  <c r="J34" i="106" s="1"/>
  <c r="D48" i="106"/>
  <c r="D49" i="106"/>
  <c r="D51" i="106"/>
  <c r="D52" i="106"/>
  <c r="D53" i="106"/>
  <c r="D54" i="106"/>
  <c r="D55" i="106"/>
  <c r="B59" i="106"/>
  <c r="B60" i="106"/>
  <c r="J96" i="106"/>
  <c r="J97" i="106" s="1"/>
  <c r="J103" i="106" s="1"/>
  <c r="J110" i="106"/>
  <c r="D120" i="106"/>
  <c r="J133" i="106"/>
  <c r="M21" i="106"/>
  <c r="M22" i="106" s="1"/>
  <c r="M23" i="106" s="1"/>
  <c r="J60" i="106" s="1"/>
  <c r="M21" i="121"/>
  <c r="M22" i="121" s="1"/>
  <c r="J24" i="121"/>
  <c r="J27" i="121" s="1"/>
  <c r="J28" i="121"/>
  <c r="J32" i="121"/>
  <c r="J38" i="121" s="1"/>
  <c r="D48" i="121"/>
  <c r="D49" i="121"/>
  <c r="D51" i="121"/>
  <c r="D52" i="121"/>
  <c r="D53" i="121"/>
  <c r="D54" i="121"/>
  <c r="D55" i="121"/>
  <c r="B59" i="121"/>
  <c r="B60" i="121"/>
  <c r="J97" i="121"/>
  <c r="J103" i="121" s="1"/>
  <c r="J110" i="121"/>
  <c r="D120" i="121"/>
  <c r="D121" i="121" s="1"/>
  <c r="J133" i="121"/>
  <c r="C304" i="92"/>
  <c r="J26" i="106"/>
  <c r="J25" i="106"/>
  <c r="D121" i="116"/>
  <c r="K37" i="106"/>
  <c r="J37" i="106"/>
  <c r="J33" i="106"/>
  <c r="M17" i="116"/>
  <c r="J59" i="116" s="1"/>
  <c r="M17" i="122"/>
  <c r="J59" i="122" s="1"/>
  <c r="J34" i="122"/>
  <c r="K37" i="122" s="1"/>
  <c r="D121" i="106"/>
  <c r="D84" i="123"/>
  <c r="D84" i="106"/>
  <c r="D84" i="121"/>
  <c r="D84" i="125"/>
  <c r="D84" i="116"/>
  <c r="D84" i="124"/>
  <c r="D84" i="122"/>
  <c r="D50" i="124"/>
  <c r="D50" i="116"/>
  <c r="D50" i="121"/>
  <c r="D50" i="123"/>
  <c r="D50" i="125"/>
  <c r="D50" i="106"/>
  <c r="D85" i="122"/>
  <c r="D85" i="116"/>
  <c r="D86" i="124"/>
  <c r="D86" i="122"/>
  <c r="D86" i="116"/>
  <c r="D86" i="121"/>
  <c r="D86" i="106"/>
  <c r="D86" i="123"/>
  <c r="D86" i="125"/>
  <c r="D88" i="123"/>
  <c r="D88" i="125"/>
  <c r="D88" i="124"/>
  <c r="D88" i="116"/>
  <c r="D88" i="122"/>
  <c r="D88" i="106"/>
  <c r="D88" i="121"/>
  <c r="D87" i="116"/>
  <c r="D87" i="122"/>
  <c r="D76" i="116"/>
  <c r="D76" i="125"/>
  <c r="D76" i="106"/>
  <c r="D76" i="121"/>
  <c r="D76" i="124"/>
  <c r="D76" i="123"/>
  <c r="D76" i="122"/>
  <c r="D73" i="106"/>
  <c r="D73" i="121"/>
  <c r="D73" i="125"/>
  <c r="D73" i="122"/>
  <c r="D73" i="124"/>
  <c r="D73" i="123"/>
  <c r="D73" i="116"/>
  <c r="D85" i="125"/>
  <c r="D85" i="121"/>
  <c r="D85" i="106"/>
  <c r="D50" i="122"/>
  <c r="D87" i="123"/>
  <c r="D87" i="124"/>
  <c r="D87" i="121"/>
  <c r="D87" i="106"/>
  <c r="D85" i="123"/>
  <c r="D87" i="125"/>
  <c r="D85" i="124"/>
  <c r="D44" i="123"/>
  <c r="D44" i="122"/>
  <c r="D44" i="116"/>
  <c r="D44" i="121"/>
  <c r="D44" i="124"/>
  <c r="D44" i="125"/>
  <c r="D44" i="106"/>
  <c r="D43" i="124"/>
  <c r="D43" i="123"/>
  <c r="D45" i="123" s="1"/>
  <c r="D43" i="106"/>
  <c r="D43" i="122"/>
  <c r="D43" i="116"/>
  <c r="D43" i="121"/>
  <c r="D43" i="125"/>
  <c r="D45" i="125" s="1"/>
  <c r="D77" i="125"/>
  <c r="D77" i="123"/>
  <c r="D77" i="124"/>
  <c r="D77" i="116"/>
  <c r="D77" i="122"/>
  <c r="D77" i="106"/>
  <c r="D77" i="121"/>
  <c r="D75" i="124"/>
  <c r="D75" i="116"/>
  <c r="D75" i="123"/>
  <c r="D75" i="121"/>
  <c r="D75" i="122"/>
  <c r="D75" i="125"/>
  <c r="D75" i="106"/>
  <c r="D74" i="122"/>
  <c r="D74" i="121"/>
  <c r="D74" i="123"/>
  <c r="D74" i="125"/>
  <c r="D74" i="124"/>
  <c r="D74" i="116"/>
  <c r="D74" i="106"/>
  <c r="D78" i="116"/>
  <c r="D78" i="121"/>
  <c r="D78" i="125"/>
  <c r="D78" i="122"/>
  <c r="D78" i="124"/>
  <c r="D78" i="106"/>
  <c r="D78" i="123"/>
  <c r="D83" i="121"/>
  <c r="D83" i="125"/>
  <c r="D83" i="124"/>
  <c r="D83" i="122"/>
  <c r="D83" i="116"/>
  <c r="D83" i="123"/>
  <c r="D83" i="106"/>
  <c r="D56" i="127" l="1"/>
  <c r="D92" i="127" s="1"/>
  <c r="D93" i="127" s="1"/>
  <c r="J34" i="123"/>
  <c r="K37" i="123" s="1"/>
  <c r="M17" i="123"/>
  <c r="J59" i="123" s="1"/>
  <c r="M17" i="106"/>
  <c r="J59" i="106" s="1"/>
  <c r="J62" i="106" s="1"/>
  <c r="J68" i="106" s="1"/>
  <c r="J25" i="125"/>
  <c r="J27" i="122"/>
  <c r="H41" i="126"/>
  <c r="J109" i="125" s="1"/>
  <c r="D89" i="121"/>
  <c r="J62" i="123"/>
  <c r="J68" i="123" s="1"/>
  <c r="M23" i="121"/>
  <c r="J60" i="121" s="1"/>
  <c r="J25" i="127"/>
  <c r="M17" i="127"/>
  <c r="J59" i="127" s="1"/>
  <c r="J26" i="127"/>
  <c r="D89" i="116"/>
  <c r="D89" i="124"/>
  <c r="D79" i="121"/>
  <c r="P304" i="92"/>
  <c r="D79" i="127"/>
  <c r="D89" i="123"/>
  <c r="D89" i="125"/>
  <c r="J62" i="116"/>
  <c r="J68" i="116" s="1"/>
  <c r="J35" i="123"/>
  <c r="J33" i="116"/>
  <c r="J35" i="116" s="1"/>
  <c r="J27" i="123"/>
  <c r="J36" i="123"/>
  <c r="J26" i="122"/>
  <c r="J25" i="121"/>
  <c r="J33" i="121"/>
  <c r="D56" i="106"/>
  <c r="D56" i="122"/>
  <c r="D56" i="124"/>
  <c r="J34" i="127"/>
  <c r="D79" i="122"/>
  <c r="D45" i="116"/>
  <c r="D89" i="122"/>
  <c r="J27" i="124"/>
  <c r="J39" i="106"/>
  <c r="J125" i="106" s="1"/>
  <c r="M17" i="121"/>
  <c r="J59" i="121" s="1"/>
  <c r="J33" i="125"/>
  <c r="J34" i="121"/>
  <c r="J26" i="124"/>
  <c r="J26" i="123"/>
  <c r="J26" i="121"/>
  <c r="M23" i="122"/>
  <c r="J60" i="122" s="1"/>
  <c r="J62" i="122" s="1"/>
  <c r="J68" i="122" s="1"/>
  <c r="J27" i="125"/>
  <c r="D45" i="106"/>
  <c r="D45" i="124"/>
  <c r="D92" i="124" s="1"/>
  <c r="D93" i="124" s="1"/>
  <c r="D45" i="121"/>
  <c r="D45" i="122"/>
  <c r="D79" i="124"/>
  <c r="D89" i="106"/>
  <c r="D79" i="125"/>
  <c r="D79" i="123"/>
  <c r="D79" i="116"/>
  <c r="J37" i="122"/>
  <c r="J39" i="122" s="1"/>
  <c r="J125" i="122" s="1"/>
  <c r="K39" i="106"/>
  <c r="J78" i="106" s="1"/>
  <c r="D56" i="121"/>
  <c r="D56" i="116"/>
  <c r="J33" i="124"/>
  <c r="J38" i="124" s="1"/>
  <c r="M17" i="124" s="1"/>
  <c r="J59" i="124" s="1"/>
  <c r="J62" i="124" s="1"/>
  <c r="J68" i="124" s="1"/>
  <c r="J34" i="124"/>
  <c r="D56" i="125"/>
  <c r="K37" i="125"/>
  <c r="H12" i="126"/>
  <c r="D79" i="106"/>
  <c r="J109" i="124"/>
  <c r="J109" i="106"/>
  <c r="J109" i="127"/>
  <c r="J109" i="116"/>
  <c r="D56" i="123"/>
  <c r="M22" i="127"/>
  <c r="M23" i="127" s="1"/>
  <c r="J60" i="127" s="1"/>
  <c r="J25" i="116"/>
  <c r="J26" i="116"/>
  <c r="H29" i="126"/>
  <c r="J62" i="127" l="1"/>
  <c r="J68" i="127" s="1"/>
  <c r="J36" i="116"/>
  <c r="J29" i="125"/>
  <c r="J109" i="121"/>
  <c r="J74" i="106"/>
  <c r="I29" i="125"/>
  <c r="D92" i="123"/>
  <c r="D92" i="122"/>
  <c r="D93" i="122" s="1"/>
  <c r="D92" i="106"/>
  <c r="J92" i="106" s="1"/>
  <c r="J93" i="106" s="1"/>
  <c r="J62" i="121"/>
  <c r="J68" i="121" s="1"/>
  <c r="D92" i="121"/>
  <c r="J37" i="123"/>
  <c r="K39" i="123" s="1"/>
  <c r="J84" i="123" s="1"/>
  <c r="D92" i="125"/>
  <c r="J37" i="121"/>
  <c r="J39" i="121" s="1"/>
  <c r="J125" i="121" s="1"/>
  <c r="K37" i="121"/>
  <c r="K37" i="127"/>
  <c r="J37" i="127"/>
  <c r="D92" i="116"/>
  <c r="D93" i="116" s="1"/>
  <c r="J38" i="125"/>
  <c r="M17" i="125" s="1"/>
  <c r="J59" i="125" s="1"/>
  <c r="J62" i="125" s="1"/>
  <c r="J68" i="125" s="1"/>
  <c r="J108" i="127"/>
  <c r="J111" i="127" s="1"/>
  <c r="J129" i="127" s="1"/>
  <c r="J108" i="106"/>
  <c r="J111" i="106" s="1"/>
  <c r="J129" i="106" s="1"/>
  <c r="J108" i="124"/>
  <c r="J111" i="124" s="1"/>
  <c r="J129" i="124" s="1"/>
  <c r="J108" i="116"/>
  <c r="J111" i="116" s="1"/>
  <c r="J129" i="116" s="1"/>
  <c r="J108" i="121"/>
  <c r="J111" i="121" s="1"/>
  <c r="J129" i="121" s="1"/>
  <c r="J108" i="125"/>
  <c r="J111" i="125" s="1"/>
  <c r="J129" i="125" s="1"/>
  <c r="J108" i="122"/>
  <c r="J108" i="123"/>
  <c r="D93" i="121"/>
  <c r="J37" i="116"/>
  <c r="J39" i="116" s="1"/>
  <c r="J125" i="116" s="1"/>
  <c r="J85" i="106"/>
  <c r="D93" i="106"/>
  <c r="J109" i="122"/>
  <c r="J109" i="123"/>
  <c r="D93" i="123"/>
  <c r="D93" i="125"/>
  <c r="K37" i="124"/>
  <c r="J35" i="124"/>
  <c r="J36" i="124"/>
  <c r="J51" i="106"/>
  <c r="J55" i="106"/>
  <c r="J54" i="106"/>
  <c r="J87" i="106"/>
  <c r="J50" i="106"/>
  <c r="J44" i="106"/>
  <c r="J52" i="106"/>
  <c r="J49" i="106"/>
  <c r="J76" i="106"/>
  <c r="J43" i="106"/>
  <c r="J45" i="106" s="1"/>
  <c r="J66" i="106" s="1"/>
  <c r="J48" i="106"/>
  <c r="J53" i="106"/>
  <c r="J86" i="106"/>
  <c r="J84" i="106"/>
  <c r="J77" i="106"/>
  <c r="J73" i="106"/>
  <c r="K39" i="122"/>
  <c r="J88" i="106"/>
  <c r="J75" i="106"/>
  <c r="J83" i="106"/>
  <c r="J85" i="123" l="1"/>
  <c r="J86" i="123"/>
  <c r="J50" i="123"/>
  <c r="J92" i="123"/>
  <c r="J93" i="123" s="1"/>
  <c r="K39" i="127"/>
  <c r="J51" i="123"/>
  <c r="J87" i="123"/>
  <c r="J73" i="123"/>
  <c r="J43" i="123"/>
  <c r="J52" i="123"/>
  <c r="J78" i="123"/>
  <c r="J75" i="123"/>
  <c r="J88" i="123"/>
  <c r="J55" i="123"/>
  <c r="J77" i="123"/>
  <c r="J44" i="123"/>
  <c r="J83" i="123"/>
  <c r="J49" i="123"/>
  <c r="J48" i="123"/>
  <c r="J76" i="123"/>
  <c r="J79" i="123" s="1"/>
  <c r="J127" i="123" s="1"/>
  <c r="J53" i="123"/>
  <c r="J74" i="123"/>
  <c r="J54" i="123"/>
  <c r="J39" i="123"/>
  <c r="J125" i="123" s="1"/>
  <c r="J39" i="125"/>
  <c r="J125" i="125" s="1"/>
  <c r="J75" i="127"/>
  <c r="J76" i="127"/>
  <c r="J84" i="127"/>
  <c r="J73" i="127"/>
  <c r="J44" i="127"/>
  <c r="J52" i="127"/>
  <c r="J83" i="127"/>
  <c r="J87" i="127"/>
  <c r="J88" i="127"/>
  <c r="J51" i="127"/>
  <c r="J54" i="127"/>
  <c r="J85" i="127"/>
  <c r="J48" i="127"/>
  <c r="J43" i="127"/>
  <c r="J45" i="127" s="1"/>
  <c r="J66" i="127" s="1"/>
  <c r="J77" i="127"/>
  <c r="J49" i="127"/>
  <c r="J92" i="127"/>
  <c r="J93" i="127" s="1"/>
  <c r="J55" i="127"/>
  <c r="J78" i="127"/>
  <c r="J86" i="127"/>
  <c r="J53" i="127"/>
  <c r="J50" i="127"/>
  <c r="J74" i="127"/>
  <c r="J39" i="127"/>
  <c r="J125" i="127" s="1"/>
  <c r="K39" i="121"/>
  <c r="K39" i="125"/>
  <c r="J45" i="123"/>
  <c r="J66" i="123" s="1"/>
  <c r="J89" i="106"/>
  <c r="J102" i="106" s="1"/>
  <c r="J104" i="106" s="1"/>
  <c r="J128" i="106" s="1"/>
  <c r="J56" i="106"/>
  <c r="J67" i="106" s="1"/>
  <c r="J50" i="122"/>
  <c r="J86" i="122"/>
  <c r="J52" i="122"/>
  <c r="J48" i="122"/>
  <c r="J53" i="122"/>
  <c r="J43" i="122"/>
  <c r="J83" i="122"/>
  <c r="J49" i="122"/>
  <c r="J87" i="122"/>
  <c r="J85" i="122"/>
  <c r="J55" i="122"/>
  <c r="J73" i="122"/>
  <c r="J77" i="122"/>
  <c r="J88" i="122"/>
  <c r="J54" i="122"/>
  <c r="J75" i="122"/>
  <c r="J84" i="122"/>
  <c r="J76" i="122"/>
  <c r="J51" i="122"/>
  <c r="J44" i="122"/>
  <c r="J78" i="122"/>
  <c r="J74" i="122"/>
  <c r="J79" i="106"/>
  <c r="J127" i="106" s="1"/>
  <c r="J69" i="106"/>
  <c r="J126" i="106" s="1"/>
  <c r="J37" i="124"/>
  <c r="K39" i="124" s="1"/>
  <c r="J92" i="122"/>
  <c r="J93" i="122" s="1"/>
  <c r="K39" i="116"/>
  <c r="J111" i="122"/>
  <c r="J129" i="122" s="1"/>
  <c r="J111" i="123"/>
  <c r="J129" i="123" s="1"/>
  <c r="J89" i="123" l="1"/>
  <c r="J102" i="123"/>
  <c r="J104" i="123" s="1"/>
  <c r="J128" i="123" s="1"/>
  <c r="J56" i="123"/>
  <c r="J67" i="123" s="1"/>
  <c r="J69" i="123" s="1"/>
  <c r="J126" i="123" s="1"/>
  <c r="J130" i="123" s="1"/>
  <c r="J39" i="124"/>
  <c r="J125" i="124" s="1"/>
  <c r="J55" i="121"/>
  <c r="J88" i="121"/>
  <c r="J78" i="121"/>
  <c r="J86" i="121"/>
  <c r="J87" i="121"/>
  <c r="J74" i="121"/>
  <c r="J51" i="121"/>
  <c r="J73" i="121"/>
  <c r="J50" i="121"/>
  <c r="J54" i="121"/>
  <c r="J85" i="121"/>
  <c r="J76" i="121"/>
  <c r="J43" i="121"/>
  <c r="J48" i="121"/>
  <c r="J77" i="121"/>
  <c r="J83" i="121"/>
  <c r="J53" i="121"/>
  <c r="J44" i="121"/>
  <c r="J84" i="121"/>
  <c r="J52" i="121"/>
  <c r="J49" i="121"/>
  <c r="J75" i="121"/>
  <c r="J92" i="121"/>
  <c r="J93" i="121" s="1"/>
  <c r="J53" i="125"/>
  <c r="J55" i="125"/>
  <c r="J73" i="125"/>
  <c r="J49" i="125"/>
  <c r="J50" i="125"/>
  <c r="J88" i="125"/>
  <c r="J87" i="125"/>
  <c r="J74" i="125"/>
  <c r="J85" i="125"/>
  <c r="J78" i="125"/>
  <c r="J77" i="125"/>
  <c r="J84" i="125"/>
  <c r="J76" i="125"/>
  <c r="J51" i="125"/>
  <c r="J52" i="125"/>
  <c r="J43" i="125"/>
  <c r="J48" i="125"/>
  <c r="J83" i="125"/>
  <c r="J44" i="125"/>
  <c r="J86" i="125"/>
  <c r="J75" i="125"/>
  <c r="J54" i="125"/>
  <c r="J92" i="125"/>
  <c r="J93" i="125" s="1"/>
  <c r="J79" i="127"/>
  <c r="J127" i="127" s="1"/>
  <c r="J56" i="127"/>
  <c r="J67" i="127" s="1"/>
  <c r="J69" i="127" s="1"/>
  <c r="J126" i="127" s="1"/>
  <c r="J89" i="127"/>
  <c r="J102" i="127" s="1"/>
  <c r="J104" i="127" s="1"/>
  <c r="J128" i="127" s="1"/>
  <c r="J130" i="106"/>
  <c r="J48" i="124"/>
  <c r="J77" i="124"/>
  <c r="J73" i="124"/>
  <c r="J75" i="124"/>
  <c r="J86" i="124"/>
  <c r="J74" i="124"/>
  <c r="J83" i="124"/>
  <c r="J53" i="124"/>
  <c r="J55" i="124"/>
  <c r="J50" i="124"/>
  <c r="J44" i="124"/>
  <c r="J52" i="124"/>
  <c r="J85" i="124"/>
  <c r="J54" i="124"/>
  <c r="J84" i="124"/>
  <c r="J76" i="124"/>
  <c r="J51" i="124"/>
  <c r="J43" i="124"/>
  <c r="J87" i="124"/>
  <c r="J88" i="124"/>
  <c r="J92" i="124"/>
  <c r="J93" i="124" s="1"/>
  <c r="J78" i="124"/>
  <c r="J49" i="124"/>
  <c r="J89" i="122"/>
  <c r="J102" i="122" s="1"/>
  <c r="J104" i="122" s="1"/>
  <c r="J128" i="122" s="1"/>
  <c r="J52" i="116"/>
  <c r="J49" i="116"/>
  <c r="J85" i="116"/>
  <c r="J73" i="116"/>
  <c r="J77" i="116"/>
  <c r="J74" i="116"/>
  <c r="J51" i="116"/>
  <c r="J50" i="116"/>
  <c r="J86" i="116"/>
  <c r="J76" i="116"/>
  <c r="J75" i="116"/>
  <c r="J78" i="116"/>
  <c r="J83" i="116"/>
  <c r="J53" i="116"/>
  <c r="J54" i="116"/>
  <c r="J44" i="116"/>
  <c r="J43" i="116"/>
  <c r="J87" i="116"/>
  <c r="J84" i="116"/>
  <c r="J88" i="116"/>
  <c r="J55" i="116"/>
  <c r="J48" i="116"/>
  <c r="J92" i="116"/>
  <c r="J93" i="116" s="1"/>
  <c r="J79" i="122"/>
  <c r="J127" i="122" s="1"/>
  <c r="J45" i="122"/>
  <c r="J66" i="122" s="1"/>
  <c r="J56" i="122"/>
  <c r="J67" i="122" s="1"/>
  <c r="J115" i="106" l="1"/>
  <c r="J116" i="106" s="1"/>
  <c r="J118" i="106" s="1"/>
  <c r="J45" i="125"/>
  <c r="J66" i="125" s="1"/>
  <c r="J115" i="123"/>
  <c r="J116" i="123" s="1"/>
  <c r="J120" i="123" s="1"/>
  <c r="J89" i="121"/>
  <c r="J102" i="121" s="1"/>
  <c r="J104" i="121" s="1"/>
  <c r="J128" i="121" s="1"/>
  <c r="J89" i="125"/>
  <c r="J102" i="125" s="1"/>
  <c r="J104" i="125" s="1"/>
  <c r="J128" i="125" s="1"/>
  <c r="J56" i="121"/>
  <c r="J67" i="121" s="1"/>
  <c r="J79" i="121"/>
  <c r="J127" i="121" s="1"/>
  <c r="J130" i="127"/>
  <c r="J56" i="125"/>
  <c r="J67" i="125" s="1"/>
  <c r="J69" i="125" s="1"/>
  <c r="J126" i="125" s="1"/>
  <c r="J79" i="125"/>
  <c r="J127" i="125" s="1"/>
  <c r="J45" i="121"/>
  <c r="J66" i="121" s="1"/>
  <c r="J56" i="116"/>
  <c r="J67" i="116" s="1"/>
  <c r="J69" i="122"/>
  <c r="J126" i="122" s="1"/>
  <c r="J130" i="122" s="1"/>
  <c r="J45" i="116"/>
  <c r="J66" i="116" s="1"/>
  <c r="J89" i="116"/>
  <c r="J102" i="116" s="1"/>
  <c r="J104" i="116" s="1"/>
  <c r="J128" i="116" s="1"/>
  <c r="J45" i="124"/>
  <c r="J66" i="124" s="1"/>
  <c r="J79" i="116"/>
  <c r="J127" i="116" s="1"/>
  <c r="J89" i="124"/>
  <c r="J102" i="124" s="1"/>
  <c r="J104" i="124" s="1"/>
  <c r="J128" i="124" s="1"/>
  <c r="J79" i="124"/>
  <c r="J127" i="124" s="1"/>
  <c r="J56" i="124"/>
  <c r="J67" i="124" s="1"/>
  <c r="J118" i="123" l="1"/>
  <c r="J69" i="116"/>
  <c r="J126" i="116" s="1"/>
  <c r="J119" i="123"/>
  <c r="J115" i="127"/>
  <c r="J120" i="106"/>
  <c r="J130" i="125"/>
  <c r="J119" i="106"/>
  <c r="J69" i="121"/>
  <c r="J126" i="121" s="1"/>
  <c r="J130" i="121" s="1"/>
  <c r="J115" i="122"/>
  <c r="J116" i="122" s="1"/>
  <c r="J120" i="122" s="1"/>
  <c r="J69" i="124"/>
  <c r="J126" i="124" s="1"/>
  <c r="J130" i="124" s="1"/>
  <c r="J130" i="116"/>
  <c r="J121" i="123" l="1"/>
  <c r="J131" i="123" s="1"/>
  <c r="J132" i="123" s="1"/>
  <c r="J134" i="123" s="1"/>
  <c r="D303" i="92" s="1"/>
  <c r="L303" i="92" s="1"/>
  <c r="J116" i="127"/>
  <c r="J120" i="127" s="1"/>
  <c r="J115" i="121"/>
  <c r="J115" i="125"/>
  <c r="J116" i="125" s="1"/>
  <c r="J119" i="125" s="1"/>
  <c r="J121" i="106"/>
  <c r="J131" i="106" s="1"/>
  <c r="J132" i="106" s="1"/>
  <c r="J134" i="106" s="1"/>
  <c r="D300" i="92" s="1"/>
  <c r="J118" i="122"/>
  <c r="J119" i="122"/>
  <c r="J115" i="116"/>
  <c r="J116" i="116" s="1"/>
  <c r="J115" i="124"/>
  <c r="J116" i="124" s="1"/>
  <c r="E303" i="92" l="1"/>
  <c r="F303" i="92" s="1"/>
  <c r="J118" i="127"/>
  <c r="J119" i="127"/>
  <c r="J118" i="125"/>
  <c r="D295" i="92"/>
  <c r="D292" i="92"/>
  <c r="J116" i="121"/>
  <c r="J120" i="125"/>
  <c r="E300" i="92"/>
  <c r="F300" i="92" s="1"/>
  <c r="L300" i="92"/>
  <c r="J121" i="122"/>
  <c r="J131" i="122" s="1"/>
  <c r="J132" i="122" s="1"/>
  <c r="J134" i="122" s="1"/>
  <c r="J120" i="124"/>
  <c r="J119" i="116"/>
  <c r="J119" i="124"/>
  <c r="J118" i="124"/>
  <c r="J118" i="116"/>
  <c r="J120" i="116"/>
  <c r="J121" i="127" l="1"/>
  <c r="J131" i="127" s="1"/>
  <c r="J132" i="127" s="1"/>
  <c r="J134" i="127" s="1"/>
  <c r="D297" i="92" s="1"/>
  <c r="L297" i="92" s="1"/>
  <c r="J121" i="125"/>
  <c r="J131" i="125" s="1"/>
  <c r="J132" i="125" s="1"/>
  <c r="J134" i="125" s="1"/>
  <c r="D298" i="92" s="1"/>
  <c r="L298" i="92" s="1"/>
  <c r="J118" i="121"/>
  <c r="I121" i="121"/>
  <c r="I134" i="121" s="1"/>
  <c r="J119" i="121"/>
  <c r="L295" i="92"/>
  <c r="D294" i="92"/>
  <c r="E294" i="92" s="1"/>
  <c r="F294" i="92" s="1"/>
  <c r="J120" i="121"/>
  <c r="E292" i="92"/>
  <c r="F292" i="92" s="1"/>
  <c r="L292" i="92"/>
  <c r="D302" i="92"/>
  <c r="L302" i="92" s="1"/>
  <c r="J121" i="124"/>
  <c r="J131" i="124" s="1"/>
  <c r="J132" i="124" s="1"/>
  <c r="J134" i="124" s="1"/>
  <c r="D299" i="92" s="1"/>
  <c r="J121" i="116"/>
  <c r="J131" i="116" s="1"/>
  <c r="J132" i="116" s="1"/>
  <c r="J134" i="116" s="1"/>
  <c r="E295" i="92"/>
  <c r="F295" i="92" s="1"/>
  <c r="E297" i="92" l="1"/>
  <c r="F297" i="92" s="1"/>
  <c r="E298" i="92"/>
  <c r="F298" i="92" s="1"/>
  <c r="J121" i="121"/>
  <c r="J131" i="121" s="1"/>
  <c r="J132" i="121" s="1"/>
  <c r="J134" i="121" s="1"/>
  <c r="D291" i="92" s="1"/>
  <c r="L291" i="92" s="1"/>
  <c r="D293" i="92"/>
  <c r="L293" i="92" s="1"/>
  <c r="D296" i="92"/>
  <c r="E299" i="92"/>
  <c r="F299" i="92" s="1"/>
  <c r="L299" i="92"/>
  <c r="E302" i="92"/>
  <c r="F302" i="92" s="1"/>
  <c r="D301" i="92"/>
  <c r="E291" i="92" l="1"/>
  <c r="F291" i="92" s="1"/>
  <c r="E293" i="92"/>
  <c r="F293" i="92" s="1"/>
  <c r="E296" i="92"/>
  <c r="F296" i="92" s="1"/>
  <c r="L296" i="92"/>
  <c r="E301" i="92"/>
  <c r="F301" i="92" s="1"/>
  <c r="L301" i="92"/>
  <c r="L305" i="92" l="1"/>
  <c r="F305" i="92"/>
  <c r="E305" i="92"/>
  <c r="H305" i="92" s="1"/>
  <c r="L304" i="92"/>
  <c r="H105" i="92" l="1"/>
  <c r="E308" i="92"/>
  <c r="E310" i="92" s="1"/>
</calcChain>
</file>

<file path=xl/sharedStrings.xml><?xml version="1.0" encoding="utf-8"?>
<sst xmlns="http://schemas.openxmlformats.org/spreadsheetml/2006/main" count="3150" uniqueCount="340">
  <si>
    <t>A</t>
  </si>
  <si>
    <t>B</t>
  </si>
  <si>
    <t>C</t>
  </si>
  <si>
    <t>D</t>
  </si>
  <si>
    <t>E</t>
  </si>
  <si>
    <t>F</t>
  </si>
  <si>
    <t>G</t>
  </si>
  <si>
    <t>Tipo de serviço (mesmo serviço com características distintas)</t>
  </si>
  <si>
    <t>Categoria profissional (vinculada à execução contratual)</t>
  </si>
  <si>
    <t>Data base da categoria (dia/mês/ano)</t>
  </si>
  <si>
    <t>H</t>
  </si>
  <si>
    <t>%</t>
  </si>
  <si>
    <t>Lucro</t>
  </si>
  <si>
    <t>PIS</t>
  </si>
  <si>
    <t>COFINS</t>
  </si>
  <si>
    <t>13º Salário</t>
  </si>
  <si>
    <t>INSS</t>
  </si>
  <si>
    <t>INCRA</t>
  </si>
  <si>
    <t>Salário Educação</t>
  </si>
  <si>
    <t>FGTS</t>
  </si>
  <si>
    <t>SEBRAE</t>
  </si>
  <si>
    <t>Identificação do Serviço</t>
  </si>
  <si>
    <t>Tipo de Serviço</t>
  </si>
  <si>
    <t>Unidade de Medida</t>
  </si>
  <si>
    <t>Salário Base</t>
  </si>
  <si>
    <t>Benefícios Mensais e Diários</t>
  </si>
  <si>
    <t>4.1</t>
  </si>
  <si>
    <t>4.2</t>
  </si>
  <si>
    <t>Afastamento maternidade</t>
  </si>
  <si>
    <t>Ausência por Acidente de trabalho</t>
  </si>
  <si>
    <t>ISS</t>
  </si>
  <si>
    <t>Nº Vale Transporte por dia</t>
  </si>
  <si>
    <t>Valor Tarifa</t>
  </si>
  <si>
    <t>Desconto</t>
  </si>
  <si>
    <t>Nº de Dias VT</t>
  </si>
  <si>
    <t>Valor por empregado</t>
  </si>
  <si>
    <t>Valor Vale Alimentação</t>
  </si>
  <si>
    <t>Quantidade de Dias VA</t>
  </si>
  <si>
    <t>Total Vale Alimentação</t>
  </si>
  <si>
    <t>Valor Participação Empregado</t>
  </si>
  <si>
    <t>As relações empregado/empregador, concernentes ao controle de frequência, disciplina, folha de pagamento e demais obrigações de Lei serão sempre de inteira e exclusiva responsabilidade desta empresa.</t>
  </si>
  <si>
    <t>Procurador</t>
  </si>
  <si>
    <t>Item</t>
  </si>
  <si>
    <t>Descrição</t>
  </si>
  <si>
    <t>Valor Unitário</t>
  </si>
  <si>
    <t>Valor Mensal</t>
  </si>
  <si>
    <t>CONDIÇÕES GERAIS:</t>
  </si>
  <si>
    <t>PREÇO DO SERVIÇO:</t>
  </si>
  <si>
    <t xml:space="preserve">OBJETO: </t>
  </si>
  <si>
    <t>Férias e Adicional de Férias</t>
  </si>
  <si>
    <t>Reflexo sobre o D.S.R</t>
  </si>
  <si>
    <t>Caso nos seja adjudicado o objeto da licitação, comprometemo-nos a assinar o contrato no prazo determinado no Edital, e para esse fim fornecemos os seguintes dados:</t>
  </si>
  <si>
    <t>DADOS DO REPRESENTANTE LEGAL DA EMPRESA PARA ASSINATURA DO CONTRATO:</t>
  </si>
  <si>
    <t>Valor 12 Meses</t>
  </si>
  <si>
    <t xml:space="preserve">VALOR TOTAL 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</si>
  <si>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</si>
  <si>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</si>
  <si>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</si>
  <si>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</si>
  <si>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</si>
  <si>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12 meses</t>
  </si>
  <si>
    <t>Quantidade total a contratar
(em função da unidade de medida)</t>
  </si>
  <si>
    <t>Dados para composição dos custos referentes à mão de 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</si>
  <si>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</si>
  <si>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</si>
  <si>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</si>
  <si>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</si>
  <si>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</si>
  <si>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>MÓDULO 2 – ENCARGOS E BENEFÍCIOS ANUAIS, MENSAIS E DIÁRIOS</t>
  </si>
  <si>
    <t>Submódulo 2.1 - 13º Salário, Férias e Adicional de Férias</t>
  </si>
  <si>
    <t>13 (Décimo-terceiro) salário</t>
  </si>
  <si>
    <t>Submódulo 2.2 - GPS, FGTS e Outras Contribuições</t>
  </si>
  <si>
    <t>SAT (Seguro Acidente de Trabalho)</t>
  </si>
  <si>
    <t>SESC ou SESI</t>
  </si>
  <si>
    <t>SENAI - SENAC</t>
  </si>
  <si>
    <t>Submódulo 2.3 - Benefícios Mensais e Diários</t>
  </si>
  <si>
    <t>-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</si>
  <si>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</si>
  <si>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</si>
  <si>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</si>
  <si>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</si>
  <si>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</si>
  <si>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</si>
  <si>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</si>
  <si>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MÓDULO 3 – PROVISÃO PARA RESCISÃO</t>
  </si>
  <si>
    <t>PROVISÃO PARA RESCISÃO</t>
  </si>
  <si>
    <t>Aviso Prévio Indenizado</t>
  </si>
  <si>
    <t>Incidência do FGTS sobre Aviso Prévio Indenizado</t>
  </si>
  <si>
    <t>Multa do FGTS e Contribuição Social sobre o Aviso Prévio Indenizado</t>
  </si>
  <si>
    <t>Aviso Prévio Trabalhado</t>
  </si>
  <si>
    <t>Incidência dos encargos do submódulo 2.2 sobre Aviso Prévio Trabalhado</t>
  </si>
  <si>
    <t>Multa do FGTS e Contribuição Social sobre o Aviso Prévio Trabalhado.</t>
  </si>
  <si>
    <t>MÓDULO 4 – CUSTO DE REPOSIÇÃO DO PROFISSIONAL AUSENTE</t>
  </si>
  <si>
    <t>Submódulo 4.1 - Ausências Legais</t>
  </si>
  <si>
    <t>Férias</t>
  </si>
  <si>
    <t>Ausências Legais</t>
  </si>
  <si>
    <t>Licença Paternidade</t>
  </si>
  <si>
    <t>Ausência por Acidente de Trabalho</t>
  </si>
  <si>
    <t>Afastamento Maternidade</t>
  </si>
  <si>
    <t>QUADRO-RESUMO DO MÓDULO 4 - CUSTO DE REPOSIÇÃO DO PROFISSIONAL AUSENTE</t>
  </si>
  <si>
    <t>Módulo 4 - Custo de Reposição do Profissional Ausente</t>
  </si>
  <si>
    <t>Intrajornada</t>
  </si>
  <si>
    <t>TOTAL DO MÓDULO 4</t>
  </si>
  <si>
    <t>MÓDULO 5 – INSUMOS DIVERSOS</t>
  </si>
  <si>
    <t>INSUMOS DIVERSOS</t>
  </si>
  <si>
    <t>MÓDULO 6 – CUSTOS INDIRETOS, TRIBUTOS E LUCRO</t>
  </si>
  <si>
    <t>CUSTOS INDIRETOS, TRIBUTOS E LUCRO</t>
  </si>
  <si>
    <t>C.1</t>
  </si>
  <si>
    <t>C.2</t>
  </si>
  <si>
    <t>C.3</t>
  </si>
  <si>
    <t>QUADRO RESUMO DO CUSTO POR EMPREGADO</t>
  </si>
  <si>
    <t>Mão de Obra vinculada à execução contratual (valor por empregado)</t>
  </si>
  <si>
    <t>Subtotal (A + B + C + D + E)</t>
  </si>
  <si>
    <t>PREÇO TOTAL POR EMPREGADO</t>
  </si>
  <si>
    <t>MEMÓRIA DE CÁLCULO / JUSTIFICATIVA VALORES APRESENTADOS</t>
  </si>
  <si>
    <t>Definidos por legislação (fixos)</t>
  </si>
  <si>
    <t>CÁLCULO:</t>
  </si>
  <si>
    <t>Apenas Incidências</t>
  </si>
  <si>
    <t>DADOS:</t>
  </si>
  <si>
    <t>11,11% = 0,1111 (custo sobre os salários das férias integrais (12/12) dos trabalhadores)</t>
  </si>
  <si>
    <t>4 meses no ano = 4/12 = 0,3333 (período em um ano a que se referem as férias proporcionais ora calculadas)</t>
  </si>
  <si>
    <t>Incidência do FGTS sobre aviso prévio Indenizado</t>
  </si>
  <si>
    <t>Multa do FGTS sobre o Aviso Prévio Indenizado</t>
  </si>
  <si>
    <t>Redução de 7 dias ou de 2h por dia</t>
  </si>
  <si>
    <t>Incidência do Submódulo 4.1 sobre Aviso Prévio Trabalhado</t>
  </si>
  <si>
    <t>Multa do FGTS sobre o Aviso Prévio Trabalhado</t>
  </si>
  <si>
    <t>Estatísticas da empresa: porcentagem dos funcionários que tornam-se pais em um ano</t>
  </si>
  <si>
    <t>Fórmula:</t>
  </si>
  <si>
    <t xml:space="preserve">= {[ (5 ÷ 30) ÷ 12 ] x % dos empregados que tornam-se pais em um ano ÷ 100} x 100 </t>
  </si>
  <si>
    <t>Uniformes / EPI'S / EPC'S</t>
  </si>
  <si>
    <t>Declaramos total concordância ao Edital e seus anexos.</t>
  </si>
  <si>
    <t>PROPOSTA COMERCIAL</t>
  </si>
  <si>
    <t>Estatística da Empresa 5,00% dos empregados são substituídos durante o ano (turnover da empresa)</t>
  </si>
  <si>
    <t>= { [ 0,05 x (1 ÷ 12) ] x 100 } =</t>
  </si>
  <si>
    <t>= { [ 0,05 x 0,083333 ] x 100 } =</t>
  </si>
  <si>
    <t>= { 0,0042 x 100 } =</t>
  </si>
  <si>
    <t>= 0,42%</t>
  </si>
  <si>
    <t>= { [ 0,42% x 8,00% ] } =</t>
  </si>
  <si>
    <t>= 0,03%</t>
  </si>
  <si>
    <t>Auxílio Doença</t>
  </si>
  <si>
    <t>QUANTIDADE DE EMPREGADOS POR POSTO</t>
  </si>
  <si>
    <t>PREÇO TOTAL POR POSTO</t>
  </si>
  <si>
    <t>Submódulo 4.2 - Intrajornada*</t>
  </si>
  <si>
    <t>Nota: (*) Verba de natureza indenizatória isenta de encargos sociais e trabalhistas, conforme Art. 71, §4º da Lei nº 13.467/2017 e Art. 214, §9º, "m" do Decreto nº 3.048/99.</t>
  </si>
  <si>
    <t>Quantidade de Postos</t>
  </si>
  <si>
    <t>Vigilante Armado</t>
  </si>
  <si>
    <t>Vigilância</t>
  </si>
  <si>
    <t>CNPJ: 10.364.152/0002-08</t>
  </si>
  <si>
    <t xml:space="preserve">DADOS DA EMPRESA: </t>
  </si>
  <si>
    <t>Lince Segurança Patrimonial Ltda.</t>
  </si>
  <si>
    <t>Cerca de 8% do pessoal é demitido nessa situação.</t>
  </si>
  <si>
    <t>= { [ ( 7 ÷ 30 ) ÷ 12 ] x 0,08 x 100 } =</t>
  </si>
  <si>
    <t>= { [ 0,2333 ÷ 12] x 0,08 x 100 } =</t>
  </si>
  <si>
    <t>= { 0,0016 x 100 } =</t>
  </si>
  <si>
    <t>= 0,16%</t>
  </si>
  <si>
    <t>Incidência do Submódulo 2.2 sobre o Submódulo 2.1 e 4.1</t>
  </si>
  <si>
    <t xml:space="preserve">TOTAL </t>
  </si>
  <si>
    <t>TOTAL</t>
  </si>
  <si>
    <t>2,00% = 0,02 (percentual estatístico adotado como de empregadas que se afastam por licença maternidade)</t>
  </si>
  <si>
    <t>= [ ( 0,1111 x 0,02 x 0,3333 ) x 100 ] =</t>
  </si>
  <si>
    <t>= [ 0,0007 x 100 ] =</t>
  </si>
  <si>
    <t>= 0,07%</t>
  </si>
  <si>
    <t>12,00% dos funcionários tornam-se pais em um ano, o cálculo será:</t>
  </si>
  <si>
    <t>= {[ (5 ÷ 30) ÷ 12 ] x 0,12 } x 100 =</t>
  </si>
  <si>
    <t>= { [ 0,1666 ÷ 12 ] x 0,12 } x 100 =</t>
  </si>
  <si>
    <t>= { 0,013889 x 0,12 } x 100 =</t>
  </si>
  <si>
    <t>= 0,0017 x 100 =</t>
  </si>
  <si>
    <t>=0,17%</t>
  </si>
  <si>
    <t>= [ ( 1 ÷ 11) ÷ 12 x 100 ] =</t>
  </si>
  <si>
    <t>= [ 0,0101 x 100 ] =</t>
  </si>
  <si>
    <t>= 1,01%</t>
  </si>
  <si>
    <t>Parâmetro: em média 2,00 ausência no ano</t>
  </si>
  <si>
    <t>Estatísticas: 5 faltas em 1 ano</t>
  </si>
  <si>
    <t>{ [ ( 5 ÷ 30 ) ÷ 12 ] X 100 } =</t>
  </si>
  <si>
    <t>= { [ 0,16 ÷ 12 ] X 100 } =</t>
  </si>
  <si>
    <t>= { 0,0139 X 100 } =</t>
  </si>
  <si>
    <t>= 1,39%</t>
  </si>
  <si>
    <t>= { [ (2 ÷ 30) ÷ 12 ] x 100 } =</t>
  </si>
  <si>
    <t>= { [ 0,06 ÷ 12 ] x 100 } =</t>
  </si>
  <si>
    <t>= { 0,0056 x 100 } =</t>
  </si>
  <si>
    <t>= 0,56%</t>
  </si>
  <si>
    <t>Estatística: 5,00% sofrem acidente durante o ano</t>
  </si>
  <si>
    <t>= { [ ( 15 ÷ 30 ) ÷ 12 ] x 0,05 } x 100 =</t>
  </si>
  <si>
    <t>= { [ 0,5 ÷ 12 ] x 0,05 } x 100 =</t>
  </si>
  <si>
    <t>= { 0,0416 x 0,05 } x 100 =</t>
  </si>
  <si>
    <t>= 0,0021 x 100 =</t>
  </si>
  <si>
    <t>= 0,21%</t>
  </si>
  <si>
    <t>Motocicleta</t>
  </si>
  <si>
    <t>RESPONSÁVEL PARA CONTATO: Willian Lopes de Aguiar</t>
  </si>
  <si>
    <t xml:space="preserve"> 12x36 hrs diurno todos os dias da semana, inclusive sábados domingos e feriados, das 07:00hs às 19:00hs </t>
  </si>
  <si>
    <t>Materiais e Equipamentos</t>
  </si>
  <si>
    <t xml:space="preserve"> 12x36 hrs noturno todos os dias da semana, inclusive sábados domingos e feriados, das 19:00hs às 07:00hs </t>
  </si>
  <si>
    <t>FUNDAÇÃO UNIVERSIDADE FEDERAL DE CIÊNCIAS DA SAÚDE DE PORTO ALEGRE</t>
  </si>
  <si>
    <t>PREGÃO ELETRÔNICO Nº 12/2018</t>
  </si>
  <si>
    <t>Processo Administrativo n.º 23103.002996/2018-72</t>
  </si>
  <si>
    <t xml:space="preserve"> </t>
  </si>
  <si>
    <t>HORA: 10:00h</t>
  </si>
  <si>
    <r>
      <t>RAZÃO SOCIAL:</t>
    </r>
    <r>
      <rPr>
        <sz val="10"/>
        <rFont val="Trebuchet MS"/>
        <family val="2"/>
      </rPr>
      <t xml:space="preserve"> Lince Segurança Patrimonial Ltda.</t>
    </r>
  </si>
  <si>
    <r>
      <t>CNPJ:</t>
    </r>
    <r>
      <rPr>
        <sz val="10"/>
        <rFont val="Trebuchet MS"/>
        <family val="2"/>
      </rPr>
      <t xml:space="preserve"> 10.364.152/0002-08</t>
    </r>
  </si>
  <si>
    <r>
      <t>ENDEREÇO:</t>
    </r>
    <r>
      <rPr>
        <sz val="10"/>
        <rFont val="Trebuchet MS"/>
        <family val="2"/>
      </rPr>
      <t xml:space="preserve">  Av. São Paulo, 1049, São Geraldo, Porto Alegre/RS</t>
    </r>
  </si>
  <si>
    <r>
      <t xml:space="preserve">FONE/FAX: </t>
    </r>
    <r>
      <rPr>
        <sz val="10"/>
        <rFont val="Trebuchet MS"/>
        <family val="2"/>
      </rPr>
      <t>(48) 3733-3101</t>
    </r>
  </si>
  <si>
    <r>
      <t xml:space="preserve">E-MAIL: </t>
    </r>
    <r>
      <rPr>
        <sz val="10"/>
        <rFont val="Trebuchet MS"/>
        <family val="2"/>
      </rPr>
      <t>licitacoes@linceseg.com.br</t>
    </r>
  </si>
  <si>
    <r>
      <t xml:space="preserve">AGENCIA E Nº. DA CONTA NO BANCO BRADESCO:  </t>
    </r>
    <r>
      <rPr>
        <sz val="10"/>
        <rFont val="Trebuchet MS"/>
        <family val="2"/>
      </rPr>
      <t>AG. 2937-8    C/C: 7979-0</t>
    </r>
  </si>
  <si>
    <r>
      <t xml:space="preserve">NOME: </t>
    </r>
    <r>
      <rPr>
        <sz val="10"/>
        <rFont val="Trebuchet MS"/>
        <family val="2"/>
      </rPr>
      <t>Willian Lopes de Aguiar</t>
    </r>
  </si>
  <si>
    <r>
      <t xml:space="preserve">RG: </t>
    </r>
    <r>
      <rPr>
        <sz val="10"/>
        <rFont val="Trebuchet MS"/>
        <family val="2"/>
      </rPr>
      <t xml:space="preserve">3.975.588          </t>
    </r>
    <r>
      <rPr>
        <b/>
        <sz val="10"/>
        <rFont val="Trebuchet MS"/>
        <family val="2"/>
      </rPr>
      <t xml:space="preserve">            ORGÃO EXPEDIDOR: </t>
    </r>
    <r>
      <rPr>
        <sz val="10"/>
        <rFont val="Trebuchet MS"/>
        <family val="2"/>
      </rPr>
      <t>SSP/SC</t>
    </r>
  </si>
  <si>
    <r>
      <t xml:space="preserve">CPF: </t>
    </r>
    <r>
      <rPr>
        <sz val="10"/>
        <rFont val="Trebuchet MS"/>
        <family val="2"/>
      </rPr>
      <t>028.383.199-57</t>
    </r>
  </si>
  <si>
    <r>
      <t xml:space="preserve">NATURALIDADE: </t>
    </r>
    <r>
      <rPr>
        <sz val="10"/>
        <rFont val="Trebuchet MS"/>
        <family val="2"/>
      </rPr>
      <t>SÃO PAULO</t>
    </r>
  </si>
  <si>
    <r>
      <t xml:space="preserve">NACIONALIDADE: </t>
    </r>
    <r>
      <rPr>
        <sz val="10"/>
        <rFont val="Trebuchet MS"/>
        <family val="2"/>
      </rPr>
      <t>BRASILEIRA</t>
    </r>
  </si>
  <si>
    <r>
      <rPr>
        <b/>
        <sz val="10"/>
        <rFont val="Trebuchet MS"/>
        <family val="2"/>
      </rPr>
      <t xml:space="preserve">CARGO/FUNÇÃO: </t>
    </r>
    <r>
      <rPr>
        <sz val="10"/>
        <rFont val="Trebuchet MS"/>
        <family val="2"/>
      </rPr>
      <t>GERENTE COMERCIAL</t>
    </r>
  </si>
  <si>
    <r>
      <t>ENDEREÇO:</t>
    </r>
    <r>
      <rPr>
        <sz val="10"/>
        <rFont val="Trebuchet MS"/>
        <family val="2"/>
      </rPr>
      <t xml:space="preserve"> Rua Antonio Mariano de Souza, 756 - Bairro Ipiranga - São José/SC - CEP: 88.111-510</t>
    </r>
  </si>
  <si>
    <r>
      <t>E-MAIL:</t>
    </r>
    <r>
      <rPr>
        <sz val="10"/>
        <rFont val="Trebuchet MS"/>
        <family val="2"/>
      </rPr>
      <t xml:space="preserve"> licitacoes@linceseg.com.br</t>
    </r>
  </si>
  <si>
    <t>44 horas diurno</t>
  </si>
  <si>
    <t xml:space="preserve">RS000817/2018 </t>
  </si>
  <si>
    <t>Porto Alegre/RS</t>
  </si>
  <si>
    <t>Operador CFTV</t>
  </si>
  <si>
    <t>6 horas noturno</t>
  </si>
  <si>
    <t>Outros</t>
  </si>
  <si>
    <t>Folguista</t>
  </si>
  <si>
    <t>6 horas diurno</t>
  </si>
  <si>
    <t>&lt;&lt;&lt; Ativação Futura</t>
  </si>
  <si>
    <t>Gratificação Função</t>
  </si>
  <si>
    <t>Salário Base 172,50 horas mensais</t>
  </si>
  <si>
    <t>O objeto da presente licitação é a escolha da proposta mais vantajosa para a Contratação de pessoa jurídica especializada na prestação de serviços de vigilância e segurança patrimonial armada e desarmada, que comprove sua qualificação, a serem executados de forma contínua, consoante este termo de referência, edital, contrato e anexos.</t>
  </si>
  <si>
    <t>Declaramos que o Sindicato Representativo da Categoria: SIND DAS EMPR DE SEGURANCA E VIGILANCIA DO EST DO R G S, CNPJ n. 87.004.982/0001-78 e SIND DOS EMPREG DE EMPR DE SEG EVIGIL DO EST DO RGS, CNPJ n. 91.343.293/0001-65, vigência de 01º de fevereiro de 2018 a 31 de janeiro de 2020 e a data-base da categoria em 01º de fevereiro. Registrada no MTE sob o nº RS000817/2018.</t>
  </si>
  <si>
    <t>Declaramos  que nos valores propostos estarão inclusos todos os custos operacionais, encargos previdenciários, trabalhistas, tributários, comerciais e quaisquer outros que incidam direta ou indiretamente na prestação dos serviços, apurados mediante o preenchimento do modelo de Planilha de Custos e Formação de Preços, conforme anexo IV deste Edital.</t>
  </si>
  <si>
    <t>44 (quarenta e quatro) horas semanais diurnas, de segunda a sábado envolvendo 1 (um) vigilante (supervisor) DESARMADA</t>
  </si>
  <si>
    <t>12 horas diurnas, de segunda-feira a domingo, envolvendo 2 (dois) vigilantes em turnos de 12 (doze) x 36 (trinta e seis) horas DESARMADA</t>
  </si>
  <si>
    <t>12 horas noturnas, de segunda-feira a domingo, envolvendo 2 (dois) vigilantes em turnos de 12 (doze) x 36 (trinta e seis) horas DESARMADA</t>
  </si>
  <si>
    <t>12 horas diurnas, de segunda-feira a domingo, envolvendo 2 (dois) vigilantes em turnos de 12 (doze) x 36 (trinta e seis) horas ARMADA</t>
  </si>
  <si>
    <t>12 horas noturnas, de segunda-feira a domingo, envolvendo 2 (dois) vigilantes em turnos de 12 (doze) x 36 (trinta e seis) horas ARMADA</t>
  </si>
  <si>
    <t>12 horas diurnas, de segunda-feira a sábado, envolvendo 2 (dois) vigilantes em turnos de 12 (doze) x 36 (trinta e seis) horas DESARMADA</t>
  </si>
  <si>
    <t>6 horas diurnas initerruptas de Operador de circuito interno de TV diurno de segunda-feira a domingo, inclusive feriados. DESARMADA</t>
  </si>
  <si>
    <t>6 horas noturnas initerruptas de Operador de circuito interno de TV noturno de segunda-feira a domingo, inclusive feriados. DESARMADA</t>
  </si>
  <si>
    <t>Declaramos que O prazo de validade da proposta é de sessenta (60) dias, a contar da data de sua apresentação.</t>
  </si>
  <si>
    <t>São José/SC, 03 de julho de 2018.</t>
  </si>
  <si>
    <t>12 horas diurnas, de segunda-feira a domingo, envolvendo 2 (dois) vigilantes em turnos de 12 (doze) x 36 (trinta e seis) horas DESARMADA - ATIVAÇÃO FUTURA</t>
  </si>
  <si>
    <t>12 horas noturnas, de segunda-feira a domingo, envolvendo 2 (dois) vigilantes em turnos de 12 (doze) x 36 (trinta e seis) horas DESARMADA - ATIVAÇÃO FUTURA</t>
  </si>
  <si>
    <t>12 horas diurnas, de segunda-feira a domingo, envolvendo 2 (dois) vigilantes em turnos de 12 (doze) x 36 (trinta e seis) horas ARMADA - ATIVAÇÃO FUTURA</t>
  </si>
  <si>
    <t>12 horas noturnas, de segunda-feira a domingo, envolvendo 2 (dois) vigilantes em turnos de 12 (doze) x 36 (trinta e seis) horas ARMADA - ATIVAÇÃO FUTURA</t>
  </si>
  <si>
    <t>12  2018</t>
  </si>
  <si>
    <t>23103.002996/2018-72</t>
  </si>
  <si>
    <t>ANEXO IV - PLANILHA DE CUSTOS E FORMAÇÃO DE PREÇOS</t>
  </si>
  <si>
    <t>Número do Processo:</t>
  </si>
  <si>
    <t>Número da Licitação:</t>
  </si>
  <si>
    <t>Razão Social: Lince Segurança Patrimonial Ltda. CNPJ 10.364.152/0002-08</t>
  </si>
  <si>
    <t>Objeto: Prestação de serviços de Vigilância e Segurança Armada e Desarmada</t>
  </si>
  <si>
    <t>5173-30</t>
  </si>
  <si>
    <t>Vigilante</t>
  </si>
  <si>
    <t>Valor da hora sem periculosidade = (Valor do salário normativo / 220 h)</t>
  </si>
  <si>
    <t>Valor da hora extra sem periculosidade com 50% = valor da hora + 50%</t>
  </si>
  <si>
    <t>Valor do adicional noturno sem periculosidade = valor da hora x 20%</t>
  </si>
  <si>
    <t>Adicional de troca de uniforme</t>
  </si>
  <si>
    <t>Quantidade de vigilantes por posto de serviço</t>
  </si>
  <si>
    <t>Intervalo para repouso ou alimentação</t>
  </si>
  <si>
    <t>INSS (Conforme Art. 22, Inciso I, da Lei nº 8.212/91)</t>
  </si>
  <si>
    <t>SESI ou SESC (conforme Art. 30, Lei nº 8.036/90 e Art. 3º do Decreto-Lei nº 9.853/1946)</t>
  </si>
  <si>
    <t>SENAI ou SENAC (Conforme Decreto nº 2.318/86)</t>
  </si>
  <si>
    <t>INCRA (Conforme Lei n.º 7.787/89 e DL nº 1.146/70)</t>
  </si>
  <si>
    <t>Salário Educação (Conforme Art. 3º, Inciso I, Decreto n.º 87.043/82)</t>
  </si>
  <si>
    <t>FGTS (Conforme Art. 15, Lei nº 8.030/90 e Art. 7º, III, CF)</t>
  </si>
  <si>
    <t>Seguro acidente do trabalho (Conforme Art. 22, II, “a”, “b” e “c”, da Lei nº 8.212/94 e Lei Complementar nº 123/2006): [ (RAT: 3,00%) x (FAP: 1,36, conforme GFIP) ]</t>
  </si>
  <si>
    <t>SEBRAE (Conforme Art. 8º, Lei n.º 8.029/90 e Lei n.º 8.154/90 )</t>
  </si>
  <si>
    <t>ANEXO IV – A</t>
  </si>
  <si>
    <t>ANEXO IV – B</t>
  </si>
  <si>
    <t>QUADRO DEMONSTRATIVO DO VALOR GLOBAL DA PROPOSTA</t>
  </si>
  <si>
    <t>Valor mensal do serviço da equipe residente</t>
  </si>
  <si>
    <t>Número de meses do contrato</t>
  </si>
  <si>
    <t>Valor global da proposta (valor mensal do serviço x nº de meses do contrato)</t>
  </si>
  <si>
    <t>Uniformes - Estimativa para 12 Meses</t>
  </si>
  <si>
    <t>Quantidade de Empregados</t>
  </si>
  <si>
    <t>Quantidade 12 Meses</t>
  </si>
  <si>
    <t>Valor Unitário (R$)</t>
  </si>
  <si>
    <t>Valor 12 Meses (R$)</t>
  </si>
  <si>
    <t>Valor Mensal (R$)</t>
  </si>
  <si>
    <t>Calça</t>
  </si>
  <si>
    <t>Camisa de Mangas Compridas e Curtas</t>
  </si>
  <si>
    <t>Cinto de Nylon</t>
  </si>
  <si>
    <t>Sapatos</t>
  </si>
  <si>
    <t>Meias</t>
  </si>
  <si>
    <t>Quepe com Emblema</t>
  </si>
  <si>
    <t>Jaqueta de Frio ou Japona*</t>
  </si>
  <si>
    <t>Capa de Chuva</t>
  </si>
  <si>
    <t>Crachá</t>
  </si>
  <si>
    <t>OBS: * Durabilidade 02 anos</t>
  </si>
  <si>
    <t>Quantidade 60 Meses</t>
  </si>
  <si>
    <t>Valor 60 Meses (R$)</t>
  </si>
  <si>
    <t>Revólver calibre 38</t>
  </si>
  <si>
    <t>Cinto com coldre e baleiro</t>
  </si>
  <si>
    <t>Colete a prova de balas</t>
  </si>
  <si>
    <t>Livro de ocorrência</t>
  </si>
  <si>
    <t>Lanterna</t>
  </si>
  <si>
    <t>Pilha para lanterna</t>
  </si>
  <si>
    <t>Radio de comunicação</t>
  </si>
  <si>
    <t>prancheta</t>
  </si>
  <si>
    <t>caneta azul/preta</t>
  </si>
  <si>
    <t>Grampeador, grampos, clips e demais materiais de expedientes
necessários.</t>
  </si>
  <si>
    <t>Carregado Speed Loader</t>
  </si>
  <si>
    <t>Porta-carregador</t>
  </si>
  <si>
    <t>OBS: Equipamentos para atender 01 posto</t>
  </si>
  <si>
    <t>Equipamentos - Estimativa para 60 Meses - Posto Desarmado</t>
  </si>
  <si>
    <t>Equipamentos - Estimativa para 60 Meses - Posto Armado</t>
  </si>
  <si>
    <t>Custos Indiretos (Administração Central, Risco, Garantia e Despesas Financeiras)</t>
  </si>
  <si>
    <t>Tributos (Lucro Real)</t>
  </si>
  <si>
    <t>(Sete Milhões Duzentos e Nove Mil Novecentos e Noventa e Nove Reais)</t>
  </si>
  <si>
    <t>Adicional de periculosidade: [ (Salário Base) x (30% de Adicional Legal) ]</t>
  </si>
  <si>
    <t>Troca de Uniforme: [ ( (Salário Base) / Qtde horas laboradas) / 1/6 do Valor da Hora Normal x Qtde Dias Trabalhados no Mês] Não Há incidência de Encargos Sociais e Trabalhistas</t>
  </si>
  <si>
    <t>Adicional Noturno: [ ( (Salário Base + Periculosidade) / Qtde de horas mês) x  (07 Horas Noturnas) x  (Qtde Dias Trabalhados no Mês) x 20% de Adicional Legal) ]</t>
  </si>
  <si>
    <t>Hora Noturna Reduzida: [ ( (Salário Base + Periculosidade) / Qtde de  horas mensais) x  (Qtde Horas Noturnas x Qtde Dias Trabalhados no Mês / 52,5 minutos x 7,5 minutos ) + 50% de Adicional Legal + 20% Adicional Noturno) ]</t>
  </si>
  <si>
    <t>Adicional Noturno: [ ( (Salário Base + Periculosidade) / Qtde de horas mês) x  (07 Horas Noturnas) x  (Qtde Dias Trabalhados no Mês) x 20% de Adicional Legal) ] / 02 Colaboradores que formam o posto</t>
  </si>
  <si>
    <t>Hora Noturna Reduzida: [ ( (Salário Base + Periculosidade) / Qtde de  horas mensais) x  (Qtde Horas Noturnas x Qtde Dias Trabalhados no Mês / 52,5 minutos x 7,5 minutos ) + 50% de Adicional Legal + 20% Adicional Noturno) ] / 02 colaboradores que formam o posto</t>
  </si>
  <si>
    <t>Rafael Furquim de Souza - CPF 34104872806 e RG 40151297-6 SSP / SP</t>
  </si>
  <si>
    <t>= [ ( 1 ÷ 12 ) x 100 ] =</t>
  </si>
  <si>
    <t>= [ 0,08333x 100 ]  =</t>
  </si>
  <si>
    <t>=8,33%</t>
  </si>
  <si>
    <t>Seguro de vida, invalidez e funeral: [ (Valo por Empregado R$ 2,5) ]</t>
  </si>
  <si>
    <t xml:space="preserve"> 12x36 hrs diurno de segunda à sabado, das 07:00hs às 19:00hs </t>
  </si>
  <si>
    <t>Repac 2019 CCT 01.02.2019</t>
  </si>
  <si>
    <t>REPACTUAÇÃO 2019  - CCT 01.02.2019</t>
  </si>
  <si>
    <t>REPACTUAÇÃO 2019  - REAJUSTE VT a partir de 13.03.2019</t>
  </si>
  <si>
    <t>Repac 2019 Reajuste VT 13.03.2019</t>
  </si>
  <si>
    <t>3º Termo Aditivo - Exclusão da contribuição de 10% sobre o FGTS</t>
  </si>
  <si>
    <t>,</t>
  </si>
  <si>
    <t xml:space="preserve">SUPRESSÃO DAS ARMAS </t>
  </si>
  <si>
    <t>Redução - Aditivo nº 05 - a partir de 01/12/2020</t>
  </si>
  <si>
    <t>Supressão das armas - Aditivo nº06 - a partir de 01/02/2021</t>
  </si>
  <si>
    <t>Redução de 9 postos - Aditivo nº06 - a partir de 01/01/2021</t>
  </si>
  <si>
    <t>Supressão das armas - 4 POSTOS PASSARAM DE ARMADO PARA DESARMADO E MANTEVE A REDUÇÃO DE 7 POSTOS DO TA 06 - A PARTIR DE 01/08/2021</t>
  </si>
  <si>
    <r>
      <t xml:space="preserve">12 horas diurnas, de segunda-feira a domingo, envolvendo 2 (dois) vigilantes em turnos de 12 (doze) x 36 (trinta e seis) horas </t>
    </r>
    <r>
      <rPr>
        <b/>
        <sz val="11"/>
        <rFont val="Trebuchet MS"/>
        <family val="2"/>
      </rPr>
      <t>ARMADA</t>
    </r>
  </si>
  <si>
    <r>
      <t xml:space="preserve">12 horas diurnas, de segunda-feira a domingo, envolvendo 2 (dois) vigilantes em turnos de 12 (doze) x 36 (trinta e seis) horas </t>
    </r>
    <r>
      <rPr>
        <b/>
        <sz val="11"/>
        <rFont val="Trebuchet MS"/>
        <family val="2"/>
      </rPr>
      <t>DESARMADA</t>
    </r>
  </si>
  <si>
    <t>Retorno de dois postos e permanece a redução de 7 postos - Aditivo nº06 - a partir de 01/04/2021</t>
  </si>
  <si>
    <t>REPACTUAÇÃO 2021 - A PARTIR DE 01/08/2021</t>
  </si>
  <si>
    <t>REPAC 2021</t>
  </si>
  <si>
    <t>REAJUSTE VT</t>
  </si>
  <si>
    <t>REPAC 2021 - CCT - A PARTIR 01/04/2021</t>
  </si>
  <si>
    <t>REPAC 2021 - VT - A PARTIR 02/07/2021</t>
  </si>
  <si>
    <t>REPAC 2021 - CCT - A PARTIR 01/02/2021</t>
  </si>
  <si>
    <t>REPACTUAÇÃO 2022 - A PARTIR DE 01/02/2022</t>
  </si>
  <si>
    <t>REPAC 2022</t>
  </si>
  <si>
    <t>Valor Unitário REAJUSTADO (R$)</t>
  </si>
  <si>
    <t>IPCA 01/2021 - 12/2021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</si>
</sst>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&quot;R$ &quot;#,##0.00"/>
    <numFmt numFmtId="167" formatCode="###0;###0"/>
    <numFmt numFmtId="168" formatCode="0.0000"/>
    <numFmt numFmtId="169" formatCode="&quot;R$&quot;\ #,##0.00"/>
    <numFmt numFmtId="170" formatCode="0.0000%"/>
    <numFmt numFmtId="171" formatCode="#,##0;#,##0"/>
    <numFmt numFmtId="172" formatCode="0.000000"/>
    <numFmt numFmtId="173" formatCode="&quot;R$ &quot;#,##0.000"/>
    <numFmt numFmtId="174" formatCode="0.0000000"/>
  </numFmts>
  <fonts count="2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5"/>
      <color indexed="56"/>
      <name val="Calibri"/>
      <family val="2"/>
    </font>
    <font>
      <sz val="10"/>
      <color indexed="10"/>
      <name val="Arial"/>
      <family val="2"/>
    </font>
    <font>
      <sz val="11"/>
      <color indexed="63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i/>
      <sz val="10"/>
      <name val="Times New Roman"/>
      <family val="1"/>
    </font>
    <font>
      <sz val="10"/>
      <name val="Trebuchet MS"/>
      <family val="2"/>
    </font>
    <font>
      <b/>
      <sz val="10"/>
      <name val="Trebuchet MS"/>
      <family val="2"/>
    </font>
    <font>
      <b/>
      <i/>
      <sz val="10"/>
      <name val="Trebuchet MS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Trebuchet MS"/>
      <family val="2"/>
    </font>
    <font>
      <sz val="10"/>
      <color rgb="FFFF0000"/>
      <name val="Trebuchet MS"/>
      <family val="2"/>
    </font>
    <font>
      <b/>
      <i/>
      <sz val="11"/>
      <name val="Trebuchet MS"/>
      <family val="2"/>
    </font>
    <font>
      <b/>
      <sz val="11"/>
      <name val="Trebuchet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1" applyNumberFormat="0" applyFill="0" applyAlignment="0" applyProtection="0"/>
    <xf numFmtId="0" fontId="8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530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169" fontId="2" fillId="4" borderId="0" xfId="0" applyNumberFormat="1" applyFont="1" applyFill="1" applyAlignment="1">
      <alignment horizontal="center" vertical="center"/>
    </xf>
    <xf numFmtId="0" fontId="10" fillId="4" borderId="0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center" vertical="center" wrapText="1"/>
    </xf>
    <xf numFmtId="14" fontId="11" fillId="4" borderId="5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11" fillId="4" borderId="5" xfId="0" applyNumberFormat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center" wrapText="1"/>
    </xf>
    <xf numFmtId="169" fontId="11" fillId="4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11" fillId="4" borderId="5" xfId="0" applyFont="1" applyFill="1" applyBorder="1" applyAlignment="1">
      <alignment horizontal="center" vertical="center" wrapText="1"/>
    </xf>
    <xf numFmtId="167" fontId="10" fillId="4" borderId="32" xfId="0" applyNumberFormat="1" applyFont="1" applyFill="1" applyBorder="1" applyAlignment="1">
      <alignment horizontal="center" vertical="center" wrapText="1"/>
    </xf>
    <xf numFmtId="0" fontId="11" fillId="4" borderId="6" xfId="0" applyNumberFormat="1" applyFont="1" applyFill="1" applyBorder="1" applyAlignment="1">
      <alignment horizontal="center" vertical="center" wrapText="1"/>
    </xf>
    <xf numFmtId="167" fontId="10" fillId="4" borderId="33" xfId="0" applyNumberFormat="1" applyFont="1" applyFill="1" applyBorder="1" applyAlignment="1">
      <alignment horizontal="center" vertical="center" wrapText="1"/>
    </xf>
    <xf numFmtId="169" fontId="2" fillId="4" borderId="5" xfId="0" applyNumberFormat="1" applyFont="1" applyFill="1" applyBorder="1" applyAlignment="1">
      <alignment horizontal="center" vertical="center" wrapText="1"/>
    </xf>
    <xf numFmtId="169" fontId="2" fillId="4" borderId="5" xfId="2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 wrapText="1"/>
    </xf>
    <xf numFmtId="167" fontId="10" fillId="5" borderId="34" xfId="0" applyNumberFormat="1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169" fontId="10" fillId="5" borderId="34" xfId="0" applyNumberFormat="1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left" vertical="center" wrapText="1"/>
    </xf>
    <xf numFmtId="169" fontId="2" fillId="4" borderId="34" xfId="2" applyNumberFormat="1" applyFont="1" applyFill="1" applyBorder="1" applyAlignment="1">
      <alignment horizontal="center" vertical="center" wrapText="1"/>
    </xf>
    <xf numFmtId="169" fontId="3" fillId="6" borderId="34" xfId="2" applyNumberFormat="1" applyFont="1" applyFill="1" applyBorder="1" applyAlignment="1">
      <alignment horizontal="center" vertical="center" wrapText="1"/>
    </xf>
    <xf numFmtId="10" fontId="11" fillId="4" borderId="34" xfId="10" applyNumberFormat="1" applyFont="1" applyFill="1" applyBorder="1" applyAlignment="1">
      <alignment horizontal="center" vertical="center" wrapText="1"/>
    </xf>
    <xf numFmtId="10" fontId="10" fillId="6" borderId="34" xfId="10" applyNumberFormat="1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169" fontId="2" fillId="4" borderId="0" xfId="2" applyNumberFormat="1" applyFont="1" applyFill="1" applyAlignment="1">
      <alignment horizontal="center" vertical="center"/>
    </xf>
    <xf numFmtId="2" fontId="2" fillId="4" borderId="0" xfId="0" applyNumberFormat="1" applyFont="1" applyFill="1" applyAlignment="1">
      <alignment horizontal="center" vertical="center"/>
    </xf>
    <xf numFmtId="10" fontId="2" fillId="4" borderId="0" xfId="0" applyNumberFormat="1" applyFont="1" applyFill="1" applyAlignment="1">
      <alignment horizontal="center" vertical="center"/>
    </xf>
    <xf numFmtId="0" fontId="2" fillId="6" borderId="34" xfId="0" applyFont="1" applyFill="1" applyBorder="1" applyAlignment="1">
      <alignment horizontal="left" vertical="center" wrapText="1"/>
    </xf>
    <xf numFmtId="169" fontId="10" fillId="5" borderId="5" xfId="0" applyNumberFormat="1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10" fontId="11" fillId="4" borderId="35" xfId="10" applyNumberFormat="1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left" vertical="center" wrapText="1"/>
    </xf>
    <xf numFmtId="10" fontId="10" fillId="6" borderId="34" xfId="0" applyNumberFormat="1" applyFont="1" applyFill="1" applyBorder="1" applyAlignment="1">
      <alignment horizontal="center" vertical="center" wrapText="1"/>
    </xf>
    <xf numFmtId="171" fontId="10" fillId="4" borderId="5" xfId="0" applyNumberFormat="1" applyFont="1" applyFill="1" applyBorder="1" applyAlignment="1">
      <alignment horizontal="center" vertical="center" wrapText="1"/>
    </xf>
    <xf numFmtId="10" fontId="2" fillId="4" borderId="0" xfId="0" applyNumberFormat="1" applyFont="1" applyFill="1" applyAlignment="1">
      <alignment vertical="center"/>
    </xf>
    <xf numFmtId="0" fontId="10" fillId="6" borderId="34" xfId="0" applyFont="1" applyFill="1" applyBorder="1" applyAlignment="1">
      <alignment horizontal="center" vertical="center" wrapText="1"/>
    </xf>
    <xf numFmtId="10" fontId="11" fillId="4" borderId="34" xfId="0" applyNumberFormat="1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vertical="center" wrapText="1"/>
    </xf>
    <xf numFmtId="0" fontId="11" fillId="4" borderId="36" xfId="0" applyFont="1" applyFill="1" applyBorder="1" applyAlignment="1">
      <alignment vertical="center" wrapText="1"/>
    </xf>
    <xf numFmtId="10" fontId="2" fillId="4" borderId="34" xfId="0" applyNumberFormat="1" applyFont="1" applyFill="1" applyBorder="1" applyAlignment="1">
      <alignment horizontal="center" vertical="center" wrapText="1"/>
    </xf>
    <xf numFmtId="169" fontId="2" fillId="4" borderId="34" xfId="0" applyNumberFormat="1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169" fontId="2" fillId="4" borderId="37" xfId="0" applyNumberFormat="1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left" vertical="center" wrapText="1"/>
    </xf>
    <xf numFmtId="169" fontId="3" fillId="4" borderId="39" xfId="0" applyNumberFormat="1" applyFont="1" applyFill="1" applyBorder="1" applyAlignment="1">
      <alignment horizontal="center" vertical="center" wrapText="1"/>
    </xf>
    <xf numFmtId="10" fontId="2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0" fontId="2" fillId="0" borderId="8" xfId="0" applyNumberFormat="1" applyFont="1" applyFill="1" applyBorder="1" applyAlignment="1">
      <alignment horizontal="center" vertical="center"/>
    </xf>
    <xf numFmtId="10" fontId="2" fillId="0" borderId="9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9" fontId="2" fillId="0" borderId="9" xfId="1" applyNumberFormat="1" applyFont="1" applyFill="1" applyBorder="1" applyAlignment="1">
      <alignment horizontal="center" vertical="center"/>
    </xf>
    <xf numFmtId="169" fontId="3" fillId="0" borderId="7" xfId="1" applyNumberFormat="1" applyFont="1" applyFill="1" applyBorder="1" applyAlignment="1">
      <alignment horizontal="center" vertical="center"/>
    </xf>
    <xf numFmtId="169" fontId="2" fillId="0" borderId="8" xfId="1" applyNumberFormat="1" applyFont="1" applyFill="1" applyBorder="1" applyAlignment="1">
      <alignment horizontal="center" vertical="center"/>
    </xf>
    <xf numFmtId="169" fontId="3" fillId="0" borderId="9" xfId="1" applyNumberFormat="1" applyFont="1" applyFill="1" applyBorder="1" applyAlignment="1">
      <alignment horizontal="center" vertical="center"/>
    </xf>
    <xf numFmtId="169" fontId="2" fillId="0" borderId="9" xfId="20" applyNumberFormat="1" applyFont="1" applyFill="1" applyBorder="1" applyAlignment="1">
      <alignment horizontal="center" vertical="center"/>
    </xf>
    <xf numFmtId="2" fontId="2" fillId="0" borderId="8" xfId="20" applyNumberFormat="1" applyFont="1" applyFill="1" applyBorder="1" applyAlignment="1">
      <alignment horizontal="center" vertical="center"/>
    </xf>
    <xf numFmtId="2" fontId="2" fillId="0" borderId="9" xfId="20" applyNumberFormat="1" applyFont="1" applyFill="1" applyBorder="1" applyAlignment="1">
      <alignment horizontal="center" vertical="center"/>
    </xf>
    <xf numFmtId="0" fontId="2" fillId="0" borderId="0" xfId="6" applyFont="1"/>
    <xf numFmtId="0" fontId="3" fillId="0" borderId="0" xfId="6" applyFont="1" applyAlignment="1">
      <alignment horizontal="center" vertical="center"/>
    </xf>
    <xf numFmtId="0" fontId="12" fillId="0" borderId="0" xfId="6" applyFont="1"/>
    <xf numFmtId="0" fontId="13" fillId="0" borderId="0" xfId="6" applyFont="1"/>
    <xf numFmtId="0" fontId="2" fillId="4" borderId="0" xfId="6" applyFont="1" applyFill="1"/>
    <xf numFmtId="0" fontId="3" fillId="4" borderId="10" xfId="6" applyFont="1" applyFill="1" applyBorder="1"/>
    <xf numFmtId="0" fontId="2" fillId="4" borderId="11" xfId="6" applyFont="1" applyFill="1" applyBorder="1"/>
    <xf numFmtId="10" fontId="3" fillId="4" borderId="11" xfId="6" applyNumberFormat="1" applyFont="1" applyFill="1" applyBorder="1" applyAlignment="1">
      <alignment horizontal="center"/>
    </xf>
    <xf numFmtId="0" fontId="2" fillId="4" borderId="12" xfId="6" applyFont="1" applyFill="1" applyBorder="1"/>
    <xf numFmtId="0" fontId="2" fillId="4" borderId="13" xfId="6" applyFont="1" applyFill="1" applyBorder="1"/>
    <xf numFmtId="0" fontId="2" fillId="4" borderId="0" xfId="6" applyFont="1" applyFill="1" applyBorder="1"/>
    <xf numFmtId="0" fontId="2" fillId="4" borderId="14" xfId="6" applyFont="1" applyFill="1" applyBorder="1"/>
    <xf numFmtId="49" fontId="3" fillId="4" borderId="13" xfId="6" applyNumberFormat="1" applyFont="1" applyFill="1" applyBorder="1" applyAlignment="1">
      <alignment horizontal="center" vertical="center" wrapText="1"/>
    </xf>
    <xf numFmtId="0" fontId="3" fillId="4" borderId="0" xfId="6" applyFont="1" applyFill="1" applyBorder="1" applyAlignment="1">
      <alignment vertical="center" wrapText="1"/>
    </xf>
    <xf numFmtId="10" fontId="3" fillId="4" borderId="0" xfId="11" applyNumberFormat="1" applyFont="1" applyFill="1" applyBorder="1" applyAlignment="1">
      <alignment horizontal="center" vertical="center"/>
    </xf>
    <xf numFmtId="10" fontId="17" fillId="4" borderId="0" xfId="11" applyNumberFormat="1" applyFont="1" applyFill="1" applyBorder="1" applyAlignment="1">
      <alignment horizontal="center" vertical="center"/>
    </xf>
    <xf numFmtId="10" fontId="3" fillId="0" borderId="0" xfId="13" applyNumberFormat="1" applyFont="1" applyAlignment="1">
      <alignment horizontal="center" vertical="center"/>
    </xf>
    <xf numFmtId="49" fontId="3" fillId="4" borderId="15" xfId="6" applyNumberFormat="1" applyFont="1" applyFill="1" applyBorder="1" applyAlignment="1">
      <alignment horizontal="center" vertical="center" wrapText="1"/>
    </xf>
    <xf numFmtId="0" fontId="3" fillId="4" borderId="16" xfId="6" applyFont="1" applyFill="1" applyBorder="1" applyAlignment="1">
      <alignment vertical="center" wrapText="1"/>
    </xf>
    <xf numFmtId="10" fontId="3" fillId="4" borderId="16" xfId="11" applyNumberFormat="1" applyFont="1" applyFill="1" applyBorder="1" applyAlignment="1">
      <alignment horizontal="center" vertical="center"/>
    </xf>
    <xf numFmtId="0" fontId="2" fillId="4" borderId="16" xfId="6" applyFont="1" applyFill="1" applyBorder="1"/>
    <xf numFmtId="0" fontId="2" fillId="4" borderId="17" xfId="6" applyFont="1" applyFill="1" applyBorder="1"/>
    <xf numFmtId="2" fontId="17" fillId="0" borderId="0" xfId="6" applyNumberFormat="1" applyFont="1" applyAlignment="1">
      <alignment horizontal="center" vertical="center"/>
    </xf>
    <xf numFmtId="0" fontId="18" fillId="0" borderId="0" xfId="6" applyFont="1" applyAlignment="1">
      <alignment horizontal="left" vertical="center"/>
    </xf>
    <xf numFmtId="0" fontId="2" fillId="4" borderId="0" xfId="6" applyFont="1" applyFill="1" applyBorder="1" applyAlignment="1">
      <alignment horizontal="left"/>
    </xf>
    <xf numFmtId="0" fontId="2" fillId="4" borderId="0" xfId="6" quotePrefix="1" applyFont="1" applyFill="1" applyBorder="1" applyAlignment="1">
      <alignment horizontal="left"/>
    </xf>
    <xf numFmtId="0" fontId="3" fillId="4" borderId="0" xfId="6" applyFont="1" applyFill="1" applyBorder="1"/>
    <xf numFmtId="0" fontId="2" fillId="4" borderId="15" xfId="6" applyFont="1" applyFill="1" applyBorder="1"/>
    <xf numFmtId="10" fontId="3" fillId="0" borderId="0" xfId="14" applyNumberFormat="1" applyFont="1" applyAlignment="1">
      <alignment horizontal="center" vertical="center"/>
    </xf>
    <xf numFmtId="10" fontId="2" fillId="4" borderId="0" xfId="11" applyNumberFormat="1" applyFont="1" applyFill="1" applyBorder="1" applyAlignment="1">
      <alignment horizontal="center" vertical="center"/>
    </xf>
    <xf numFmtId="168" fontId="17" fillId="0" borderId="0" xfId="6" applyNumberFormat="1" applyFont="1" applyAlignment="1">
      <alignment horizontal="center" vertical="center"/>
    </xf>
    <xf numFmtId="0" fontId="2" fillId="4" borderId="16" xfId="6" quotePrefix="1" applyFont="1" applyFill="1" applyBorder="1" applyAlignment="1">
      <alignment horizontal="left"/>
    </xf>
    <xf numFmtId="172" fontId="17" fillId="0" borderId="0" xfId="6" applyNumberFormat="1" applyFont="1" applyAlignment="1">
      <alignment horizontal="center" vertical="center"/>
    </xf>
    <xf numFmtId="10" fontId="3" fillId="4" borderId="0" xfId="6" applyNumberFormat="1" applyFont="1" applyFill="1" applyBorder="1" applyAlignment="1">
      <alignment horizontal="center"/>
    </xf>
    <xf numFmtId="0" fontId="3" fillId="4" borderId="13" xfId="6" applyFont="1" applyFill="1" applyBorder="1"/>
    <xf numFmtId="0" fontId="6" fillId="0" borderId="0" xfId="6" applyFont="1" applyAlignment="1">
      <alignment horizontal="left" vertical="center"/>
    </xf>
    <xf numFmtId="0" fontId="2" fillId="0" borderId="13" xfId="6" applyFont="1" applyBorder="1"/>
    <xf numFmtId="10" fontId="3" fillId="0" borderId="0" xfId="6" applyNumberFormat="1" applyFont="1" applyAlignment="1">
      <alignment horizontal="center" vertical="center"/>
    </xf>
    <xf numFmtId="169" fontId="3" fillId="7" borderId="5" xfId="0" applyNumberFormat="1" applyFont="1" applyFill="1" applyBorder="1" applyAlignment="1">
      <alignment horizontal="center" vertical="center" wrapText="1"/>
    </xf>
    <xf numFmtId="169" fontId="18" fillId="4" borderId="0" xfId="0" applyNumberFormat="1" applyFont="1" applyFill="1" applyAlignment="1">
      <alignment horizontal="center" vertical="center"/>
    </xf>
    <xf numFmtId="170" fontId="2" fillId="4" borderId="0" xfId="9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1" fontId="3" fillId="4" borderId="5" xfId="0" applyNumberFormat="1" applyFont="1" applyFill="1" applyBorder="1" applyAlignment="1">
      <alignment horizontal="center" vertical="center" wrapText="1"/>
    </xf>
    <xf numFmtId="169" fontId="3" fillId="6" borderId="5" xfId="0" applyNumberFormat="1" applyFont="1" applyFill="1" applyBorder="1" applyAlignment="1">
      <alignment horizontal="center" vertical="center" wrapText="1"/>
    </xf>
    <xf numFmtId="10" fontId="2" fillId="4" borderId="34" xfId="9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6" applyFont="1" applyFill="1" applyBorder="1"/>
    <xf numFmtId="169" fontId="17" fillId="4" borderId="0" xfId="0" applyNumberFormat="1" applyFont="1" applyFill="1" applyAlignment="1">
      <alignment horizontal="center" vertical="center"/>
    </xf>
    <xf numFmtId="169" fontId="3" fillId="4" borderId="0" xfId="0" applyNumberFormat="1" applyFont="1" applyFill="1" applyAlignment="1">
      <alignment horizontal="center" vertical="center"/>
    </xf>
    <xf numFmtId="10" fontId="3" fillId="0" borderId="0" xfId="9" applyNumberFormat="1" applyFont="1" applyAlignment="1">
      <alignment horizontal="center" vertical="center"/>
    </xf>
    <xf numFmtId="10" fontId="2" fillId="0" borderId="0" xfId="6" applyNumberFormat="1" applyFont="1"/>
    <xf numFmtId="169" fontId="10" fillId="5" borderId="36" xfId="0" applyNumberFormat="1" applyFont="1" applyFill="1" applyBorder="1" applyAlignment="1">
      <alignment horizontal="center" vertical="center" wrapText="1"/>
    </xf>
    <xf numFmtId="169" fontId="3" fillId="6" borderId="36" xfId="2" applyNumberFormat="1" applyFont="1" applyFill="1" applyBorder="1" applyAlignment="1">
      <alignment horizontal="center" vertical="center" wrapText="1"/>
    </xf>
    <xf numFmtId="10" fontId="11" fillId="4" borderId="5" xfId="9" applyNumberFormat="1" applyFont="1" applyFill="1" applyBorder="1" applyAlignment="1">
      <alignment horizontal="center" vertical="center" wrapText="1"/>
    </xf>
    <xf numFmtId="10" fontId="10" fillId="6" borderId="5" xfId="9" applyNumberFormat="1" applyFont="1" applyFill="1" applyBorder="1" applyAlignment="1">
      <alignment horizontal="center" vertical="center" wrapText="1"/>
    </xf>
    <xf numFmtId="43" fontId="3" fillId="4" borderId="40" xfId="0" applyNumberFormat="1" applyFont="1" applyFill="1" applyBorder="1" applyAlignment="1">
      <alignment horizontal="center" vertical="center"/>
    </xf>
    <xf numFmtId="10" fontId="3" fillId="4" borderId="40" xfId="10" applyNumberFormat="1" applyFont="1" applyFill="1" applyBorder="1" applyAlignment="1">
      <alignment horizontal="center" vertical="center"/>
    </xf>
    <xf numFmtId="10" fontId="2" fillId="4" borderId="40" xfId="1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10" fontId="3" fillId="4" borderId="0" xfId="10" applyNumberFormat="1" applyFont="1" applyFill="1" applyAlignment="1">
      <alignment vertical="center"/>
    </xf>
    <xf numFmtId="10" fontId="2" fillId="4" borderId="0" xfId="10" applyNumberFormat="1" applyFont="1" applyFill="1" applyAlignment="1">
      <alignment vertical="center"/>
    </xf>
    <xf numFmtId="0" fontId="15" fillId="3" borderId="0" xfId="6" applyFont="1" applyFill="1" applyBorder="1" applyAlignment="1">
      <alignment horizontal="center" vertical="center" wrapText="1"/>
    </xf>
    <xf numFmtId="0" fontId="14" fillId="0" borderId="0" xfId="6" applyFont="1" applyAlignment="1">
      <alignment vertical="center"/>
    </xf>
    <xf numFmtId="0" fontId="14" fillId="0" borderId="0" xfId="6" applyFont="1" applyAlignment="1">
      <alignment horizontal="justify" vertical="center" wrapText="1"/>
    </xf>
    <xf numFmtId="0" fontId="14" fillId="0" borderId="0" xfId="6" applyFont="1"/>
    <xf numFmtId="0" fontId="15" fillId="0" borderId="0" xfId="6" applyFont="1" applyAlignment="1">
      <alignment vertical="center"/>
    </xf>
    <xf numFmtId="0" fontId="15" fillId="4" borderId="0" xfId="6" applyFont="1" applyFill="1" applyBorder="1" applyAlignment="1">
      <alignment horizontal="center" vertical="center"/>
    </xf>
    <xf numFmtId="0" fontId="15" fillId="3" borderId="0" xfId="6" applyFont="1" applyFill="1" applyBorder="1" applyAlignment="1">
      <alignment horizontal="center" vertical="center"/>
    </xf>
    <xf numFmtId="0" fontId="14" fillId="2" borderId="0" xfId="6" applyFont="1" applyFill="1" applyBorder="1" applyAlignment="1">
      <alignment horizontal="justify" vertical="center" wrapText="1"/>
    </xf>
    <xf numFmtId="0" fontId="15" fillId="5" borderId="0" xfId="6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37" fontId="14" fillId="2" borderId="5" xfId="6" applyNumberFormat="1" applyFont="1" applyFill="1" applyBorder="1" applyAlignment="1">
      <alignment horizontal="center" vertical="center" wrapText="1"/>
    </xf>
    <xf numFmtId="166" fontId="14" fillId="2" borderId="5" xfId="1" applyNumberFormat="1" applyFont="1" applyFill="1" applyBorder="1" applyAlignment="1">
      <alignment horizontal="center" vertical="center" wrapText="1"/>
    </xf>
    <xf numFmtId="166" fontId="14" fillId="0" borderId="0" xfId="1" applyNumberFormat="1" applyFont="1" applyBorder="1" applyAlignment="1">
      <alignment horizontal="center" vertical="center" wrapText="1"/>
    </xf>
    <xf numFmtId="169" fontId="20" fillId="0" borderId="0" xfId="6" applyNumberFormat="1" applyFont="1" applyBorder="1" applyAlignment="1">
      <alignment horizontal="center" vertical="center"/>
    </xf>
    <xf numFmtId="166" fontId="15" fillId="7" borderId="0" xfId="6" applyNumberFormat="1" applyFont="1" applyFill="1" applyBorder="1" applyAlignment="1">
      <alignment horizontal="center" vertical="center" wrapText="1"/>
    </xf>
    <xf numFmtId="166" fontId="15" fillId="0" borderId="0" xfId="1" applyNumberFormat="1" applyFont="1" applyBorder="1" applyAlignment="1">
      <alignment horizontal="center" vertical="center" wrapText="1"/>
    </xf>
    <xf numFmtId="0" fontId="14" fillId="2" borderId="0" xfId="6" applyFont="1" applyFill="1" applyBorder="1" applyAlignment="1">
      <alignment horizontal="justify" vertical="center"/>
    </xf>
    <xf numFmtId="169" fontId="14" fillId="2" borderId="0" xfId="6" applyNumberFormat="1" applyFont="1" applyFill="1" applyBorder="1" applyAlignment="1">
      <alignment horizontal="center" vertical="center"/>
    </xf>
    <xf numFmtId="0" fontId="15" fillId="0" borderId="0" xfId="6" applyFont="1" applyAlignment="1">
      <alignment horizontal="justify" vertical="center" wrapText="1"/>
    </xf>
    <xf numFmtId="0" fontId="14" fillId="2" borderId="0" xfId="6" applyFont="1" applyFill="1" applyBorder="1" applyAlignment="1">
      <alignment horizontal="left" vertical="center" wrapText="1"/>
    </xf>
    <xf numFmtId="0" fontId="14" fillId="2" borderId="0" xfId="6" applyFont="1" applyFill="1" applyBorder="1" applyAlignment="1">
      <alignment horizontal="center" vertical="center"/>
    </xf>
    <xf numFmtId="0" fontId="14" fillId="2" borderId="0" xfId="6" applyFont="1" applyFill="1" applyBorder="1" applyAlignment="1">
      <alignment vertical="center" wrapText="1"/>
    </xf>
    <xf numFmtId="0" fontId="14" fillId="2" borderId="0" xfId="6" applyFont="1" applyFill="1" applyBorder="1" applyAlignment="1">
      <alignment horizontal="left" vertical="center"/>
    </xf>
    <xf numFmtId="0" fontId="14" fillId="2" borderId="0" xfId="6" applyFont="1" applyFill="1" applyBorder="1" applyAlignment="1">
      <alignment horizontal="right" vertical="center"/>
    </xf>
    <xf numFmtId="0" fontId="14" fillId="2" borderId="0" xfId="6" applyFont="1" applyFill="1" applyBorder="1" applyAlignment="1">
      <alignment horizontal="left"/>
    </xf>
    <xf numFmtId="0" fontId="15" fillId="2" borderId="0" xfId="6" applyFont="1" applyFill="1" applyBorder="1" applyAlignment="1">
      <alignment horizontal="center"/>
    </xf>
    <xf numFmtId="0" fontId="14" fillId="2" borderId="0" xfId="6" applyFont="1" applyFill="1" applyBorder="1" applyAlignment="1">
      <alignment horizontal="center"/>
    </xf>
    <xf numFmtId="0" fontId="14" fillId="0" borderId="0" xfId="6" applyFont="1" applyBorder="1"/>
    <xf numFmtId="0" fontId="15" fillId="0" borderId="0" xfId="6" applyFont="1"/>
    <xf numFmtId="169" fontId="2" fillId="4" borderId="0" xfId="0" applyNumberFormat="1" applyFont="1" applyFill="1" applyAlignment="1">
      <alignment vertical="center"/>
    </xf>
    <xf numFmtId="164" fontId="2" fillId="4" borderId="0" xfId="1" applyFont="1" applyFill="1" applyAlignment="1">
      <alignment vertical="center"/>
    </xf>
    <xf numFmtId="164" fontId="15" fillId="6" borderId="0" xfId="1" applyFont="1" applyFill="1" applyBorder="1" applyAlignment="1">
      <alignment horizontal="center" vertical="center" wrapText="1"/>
    </xf>
    <xf numFmtId="0" fontId="2" fillId="4" borderId="0" xfId="6" quotePrefix="1" applyFont="1" applyFill="1" applyBorder="1"/>
    <xf numFmtId="0" fontId="14" fillId="2" borderId="5" xfId="6" applyFont="1" applyFill="1" applyBorder="1" applyAlignment="1">
      <alignment horizontal="left" vertical="center" wrapText="1"/>
    </xf>
    <xf numFmtId="0" fontId="14" fillId="5" borderId="5" xfId="6" applyFont="1" applyFill="1" applyBorder="1" applyAlignment="1">
      <alignment horizontal="left" vertical="center" wrapText="1"/>
    </xf>
    <xf numFmtId="0" fontId="14" fillId="2" borderId="13" xfId="6" applyFont="1" applyFill="1" applyBorder="1" applyAlignment="1">
      <alignment horizontal="justify" vertical="center" wrapText="1"/>
    </xf>
    <xf numFmtId="0" fontId="14" fillId="2" borderId="14" xfId="6" applyFont="1" applyFill="1" applyBorder="1" applyAlignment="1">
      <alignment horizontal="justify" vertical="center" wrapText="1"/>
    </xf>
    <xf numFmtId="0" fontId="15" fillId="5" borderId="18" xfId="6" applyFont="1" applyFill="1" applyBorder="1" applyAlignment="1">
      <alignment horizontal="center" vertical="center" wrapText="1"/>
    </xf>
    <xf numFmtId="0" fontId="14" fillId="2" borderId="18" xfId="6" applyFont="1" applyFill="1" applyBorder="1" applyAlignment="1">
      <alignment horizontal="center" vertical="center"/>
    </xf>
    <xf numFmtId="0" fontId="15" fillId="2" borderId="13" xfId="6" applyFont="1" applyFill="1" applyBorder="1" applyAlignment="1">
      <alignment horizontal="left" vertical="center"/>
    </xf>
    <xf numFmtId="0" fontId="14" fillId="2" borderId="14" xfId="6" applyFont="1" applyFill="1" applyBorder="1" applyAlignment="1">
      <alignment horizontal="center" vertical="center"/>
    </xf>
    <xf numFmtId="0" fontId="14" fillId="2" borderId="14" xfId="6" applyFont="1" applyFill="1" applyBorder="1" applyAlignment="1">
      <alignment vertical="center" wrapText="1"/>
    </xf>
    <xf numFmtId="0" fontId="14" fillId="2" borderId="13" xfId="6" applyFont="1" applyFill="1" applyBorder="1" applyAlignment="1">
      <alignment horizontal="left" vertical="center"/>
    </xf>
    <xf numFmtId="0" fontId="14" fillId="2" borderId="13" xfId="6" applyFont="1" applyFill="1" applyBorder="1" applyAlignment="1">
      <alignment horizontal="left"/>
    </xf>
    <xf numFmtId="0" fontId="14" fillId="2" borderId="14" xfId="6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horizontal="center" vertical="center"/>
    </xf>
    <xf numFmtId="169" fontId="11" fillId="4" borderId="6" xfId="0" applyNumberFormat="1" applyFont="1" applyFill="1" applyBorder="1" applyAlignment="1">
      <alignment horizontal="center" vertical="center" wrapText="1"/>
    </xf>
    <xf numFmtId="2" fontId="2" fillId="4" borderId="5" xfId="0" applyNumberFormat="1" applyFont="1" applyFill="1" applyBorder="1" applyAlignment="1">
      <alignment horizontal="center" vertical="center" wrapText="1"/>
    </xf>
    <xf numFmtId="10" fontId="3" fillId="4" borderId="0" xfId="9" applyNumberFormat="1" applyFont="1" applyFill="1" applyAlignment="1">
      <alignment vertical="center"/>
    </xf>
    <xf numFmtId="169" fontId="19" fillId="0" borderId="0" xfId="6" applyNumberFormat="1" applyFont="1" applyBorder="1" applyAlignment="1">
      <alignment horizontal="center" vertical="center"/>
    </xf>
    <xf numFmtId="0" fontId="15" fillId="3" borderId="5" xfId="8" applyFont="1" applyFill="1" applyBorder="1" applyAlignment="1">
      <alignment horizontal="center" vertical="center" wrapText="1"/>
    </xf>
    <xf numFmtId="0" fontId="14" fillId="2" borderId="5" xfId="8" applyFont="1" applyFill="1" applyBorder="1" applyAlignment="1">
      <alignment horizontal="center" vertical="center" wrapText="1"/>
    </xf>
    <xf numFmtId="3" fontId="14" fillId="2" borderId="5" xfId="8" applyNumberFormat="1" applyFont="1" applyFill="1" applyBorder="1" applyAlignment="1">
      <alignment horizontal="center" vertical="center" wrapText="1"/>
    </xf>
    <xf numFmtId="166" fontId="14" fillId="2" borderId="5" xfId="8" applyNumberFormat="1" applyFont="1" applyFill="1" applyBorder="1" applyAlignment="1">
      <alignment horizontal="center" vertical="center" wrapText="1"/>
    </xf>
    <xf numFmtId="0" fontId="14" fillId="2" borderId="0" xfId="8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5" fillId="3" borderId="19" xfId="8" applyNumberFormat="1" applyFont="1" applyFill="1" applyBorder="1" applyAlignment="1">
      <alignment horizontal="center" vertical="center" wrapText="1"/>
    </xf>
    <xf numFmtId="166" fontId="14" fillId="2" borderId="19" xfId="8" applyNumberFormat="1" applyFont="1" applyFill="1" applyBorder="1" applyAlignment="1">
      <alignment horizontal="center" vertical="center" wrapText="1"/>
    </xf>
    <xf numFmtId="166" fontId="15" fillId="6" borderId="19" xfId="8" applyNumberFormat="1" applyFont="1" applyFill="1" applyBorder="1" applyAlignment="1">
      <alignment horizontal="center" vertical="center"/>
    </xf>
    <xf numFmtId="0" fontId="14" fillId="2" borderId="13" xfId="8" applyFont="1" applyFill="1" applyBorder="1" applyAlignment="1">
      <alignment horizontal="center" vertical="center"/>
    </xf>
    <xf numFmtId="0" fontId="14" fillId="2" borderId="14" xfId="8" applyFont="1" applyFill="1" applyBorder="1" applyAlignment="1">
      <alignment horizontal="center" vertical="center"/>
    </xf>
    <xf numFmtId="166" fontId="14" fillId="4" borderId="19" xfId="8" applyNumberFormat="1" applyFont="1" applyFill="1" applyBorder="1" applyAlignment="1">
      <alignment horizontal="center" vertical="center" wrapText="1"/>
    </xf>
    <xf numFmtId="166" fontId="14" fillId="5" borderId="5" xfId="8" applyNumberFormat="1" applyFont="1" applyFill="1" applyBorder="1" applyAlignment="1">
      <alignment horizontal="center" vertical="center" wrapText="1"/>
    </xf>
    <xf numFmtId="0" fontId="2" fillId="4" borderId="16" xfId="6" quotePrefix="1" applyFont="1" applyFill="1" applyBorder="1"/>
    <xf numFmtId="0" fontId="3" fillId="0" borderId="0" xfId="0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center" vertical="center"/>
    </xf>
    <xf numFmtId="169" fontId="2" fillId="0" borderId="0" xfId="9" applyNumberFormat="1" applyFont="1" applyFill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 wrapText="1"/>
    </xf>
    <xf numFmtId="169" fontId="3" fillId="4" borderId="0" xfId="0" applyNumberFormat="1" applyFont="1" applyFill="1" applyAlignment="1">
      <alignment vertical="center"/>
    </xf>
    <xf numFmtId="10" fontId="2" fillId="4" borderId="0" xfId="9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9" fontId="2" fillId="0" borderId="0" xfId="1" applyNumberFormat="1" applyFont="1" applyFill="1" applyBorder="1" applyAlignment="1">
      <alignment horizontal="center" vertical="center"/>
    </xf>
    <xf numFmtId="164" fontId="2" fillId="0" borderId="0" xfId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164" fontId="2" fillId="4" borderId="0" xfId="1" applyNumberFormat="1" applyFont="1" applyFill="1" applyAlignment="1">
      <alignment vertical="center"/>
    </xf>
    <xf numFmtId="0" fontId="14" fillId="0" borderId="0" xfId="1" applyNumberFormat="1" applyFont="1" applyBorder="1" applyAlignment="1">
      <alignment horizontal="center" vertical="center" wrapText="1"/>
    </xf>
    <xf numFmtId="37" fontId="14" fillId="2" borderId="0" xfId="6" applyNumberFormat="1" applyFont="1" applyFill="1" applyBorder="1" applyAlignment="1">
      <alignment horizontal="center" vertical="center" wrapText="1"/>
    </xf>
    <xf numFmtId="169" fontId="15" fillId="0" borderId="0" xfId="6" applyNumberFormat="1" applyFont="1" applyAlignment="1">
      <alignment vertical="center"/>
    </xf>
    <xf numFmtId="0" fontId="20" fillId="0" borderId="0" xfId="6" applyNumberFormat="1" applyFont="1" applyBorder="1" applyAlignment="1">
      <alignment horizontal="center" vertical="center"/>
    </xf>
    <xf numFmtId="37" fontId="20" fillId="0" borderId="0" xfId="6" applyNumberFormat="1" applyFont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 wrapText="1"/>
    </xf>
    <xf numFmtId="0" fontId="15" fillId="4" borderId="0" xfId="6" applyFont="1" applyFill="1" applyBorder="1" applyAlignment="1">
      <alignment horizontal="center" vertical="center"/>
    </xf>
    <xf numFmtId="166" fontId="15" fillId="5" borderId="5" xfId="6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166" fontId="15" fillId="5" borderId="26" xfId="6" applyNumberFormat="1" applyFont="1" applyFill="1" applyBorder="1" applyAlignment="1">
      <alignment vertical="center"/>
    </xf>
    <xf numFmtId="166" fontId="15" fillId="5" borderId="0" xfId="6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10" fillId="5" borderId="5" xfId="0" applyFont="1" applyFill="1" applyBorder="1" applyAlignment="1">
      <alignment vertical="center" wrapText="1"/>
    </xf>
    <xf numFmtId="169" fontId="10" fillId="7" borderId="5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vertical="center"/>
    </xf>
    <xf numFmtId="166" fontId="15" fillId="5" borderId="5" xfId="6" applyNumberFormat="1" applyFont="1" applyFill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166" fontId="15" fillId="5" borderId="5" xfId="6" applyNumberFormat="1" applyFont="1" applyFill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 wrapText="1"/>
    </xf>
    <xf numFmtId="0" fontId="15" fillId="4" borderId="20" xfId="6" applyFont="1" applyFill="1" applyBorder="1" applyAlignment="1">
      <alignment horizontal="center" vertical="center"/>
    </xf>
    <xf numFmtId="0" fontId="15" fillId="4" borderId="21" xfId="6" applyFont="1" applyFill="1" applyBorder="1" applyAlignment="1">
      <alignment horizontal="center" vertical="center"/>
    </xf>
    <xf numFmtId="0" fontId="15" fillId="4" borderId="22" xfId="6" applyFont="1" applyFill="1" applyBorder="1" applyAlignment="1">
      <alignment horizontal="center" vertical="center"/>
    </xf>
    <xf numFmtId="49" fontId="3" fillId="7" borderId="13" xfId="6" applyNumberFormat="1" applyFont="1" applyFill="1" applyBorder="1" applyAlignment="1">
      <alignment horizontal="center" vertical="center" wrapText="1"/>
    </xf>
    <xf numFmtId="0" fontId="3" fillId="7" borderId="0" xfId="6" applyFont="1" applyFill="1" applyBorder="1" applyAlignment="1">
      <alignment vertical="center" wrapText="1"/>
    </xf>
    <xf numFmtId="10" fontId="3" fillId="7" borderId="0" xfId="11" applyNumberFormat="1" applyFont="1" applyFill="1" applyBorder="1" applyAlignment="1">
      <alignment horizontal="center" vertical="center"/>
    </xf>
    <xf numFmtId="0" fontId="3" fillId="7" borderId="0" xfId="6" applyFont="1" applyFill="1" applyBorder="1"/>
    <xf numFmtId="0" fontId="2" fillId="7" borderId="0" xfId="6" applyFont="1" applyFill="1" applyBorder="1"/>
    <xf numFmtId="0" fontId="2" fillId="7" borderId="14" xfId="6" applyFont="1" applyFill="1" applyBorder="1"/>
    <xf numFmtId="166" fontId="14" fillId="7" borderId="5" xfId="1" applyNumberFormat="1" applyFont="1" applyFill="1" applyBorder="1" applyAlignment="1">
      <alignment horizontal="center" vertical="center" wrapText="1"/>
    </xf>
    <xf numFmtId="166" fontId="15" fillId="7" borderId="5" xfId="6" applyNumberFormat="1" applyFont="1" applyFill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20" fillId="0" borderId="0" xfId="6" applyFont="1" applyBorder="1" applyAlignment="1">
      <alignment horizontal="center" vertical="center"/>
    </xf>
    <xf numFmtId="0" fontId="15" fillId="0" borderId="20" xfId="6" applyFont="1" applyFill="1" applyBorder="1" applyAlignment="1">
      <alignment horizontal="right" vertical="center"/>
    </xf>
    <xf numFmtId="0" fontId="15" fillId="0" borderId="21" xfId="6" applyFont="1" applyFill="1" applyBorder="1" applyAlignment="1">
      <alignment horizontal="right" vertical="center"/>
    </xf>
    <xf numFmtId="166" fontId="15" fillId="0" borderId="21" xfId="6" applyNumberFormat="1" applyFont="1" applyFill="1" applyBorder="1" applyAlignment="1">
      <alignment horizontal="center" vertical="center"/>
    </xf>
    <xf numFmtId="166" fontId="15" fillId="0" borderId="22" xfId="6" applyNumberFormat="1" applyFont="1" applyFill="1" applyBorder="1" applyAlignment="1">
      <alignment horizontal="center" vertical="center"/>
    </xf>
    <xf numFmtId="166" fontId="15" fillId="0" borderId="0" xfId="6" applyNumberFormat="1" applyFont="1" applyFill="1" applyBorder="1" applyAlignment="1">
      <alignment horizontal="center" vertical="center" wrapText="1"/>
    </xf>
    <xf numFmtId="166" fontId="15" fillId="0" borderId="0" xfId="1" applyNumberFormat="1" applyFont="1" applyFill="1" applyBorder="1" applyAlignment="1">
      <alignment horizontal="center" vertical="center" wrapText="1"/>
    </xf>
    <xf numFmtId="169" fontId="19" fillId="0" borderId="0" xfId="6" applyNumberFormat="1" applyFont="1" applyFill="1" applyBorder="1" applyAlignment="1">
      <alignment horizontal="center" vertical="center"/>
    </xf>
    <xf numFmtId="0" fontId="15" fillId="0" borderId="0" xfId="6" applyFont="1" applyFill="1" applyAlignment="1">
      <alignment vertical="center"/>
    </xf>
    <xf numFmtId="0" fontId="14" fillId="0" borderId="0" xfId="6" applyFont="1" applyFill="1" applyAlignment="1">
      <alignment vertical="center"/>
    </xf>
    <xf numFmtId="166" fontId="14" fillId="0" borderId="5" xfId="1" applyNumberFormat="1" applyFont="1" applyFill="1" applyBorder="1" applyAlignment="1">
      <alignment horizontal="center" vertical="center" wrapText="1"/>
    </xf>
    <xf numFmtId="37" fontId="14" fillId="7" borderId="5" xfId="6" applyNumberFormat="1" applyFont="1" applyFill="1" applyBorder="1" applyAlignment="1">
      <alignment horizontal="center" vertical="center" wrapText="1"/>
    </xf>
    <xf numFmtId="0" fontId="15" fillId="5" borderId="5" xfId="6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19" fillId="0" borderId="20" xfId="6" applyFont="1" applyFill="1" applyBorder="1" applyAlignment="1">
      <alignment horizontal="right" vertical="center"/>
    </xf>
    <xf numFmtId="0" fontId="19" fillId="0" borderId="21" xfId="6" applyFont="1" applyFill="1" applyBorder="1" applyAlignment="1">
      <alignment horizontal="right" vertical="center"/>
    </xf>
    <xf numFmtId="166" fontId="19" fillId="0" borderId="21" xfId="6" applyNumberFormat="1" applyFont="1" applyFill="1" applyBorder="1" applyAlignment="1">
      <alignment horizontal="center" vertical="center"/>
    </xf>
    <xf numFmtId="166" fontId="19" fillId="0" borderId="22" xfId="6" applyNumberFormat="1" applyFont="1" applyFill="1" applyBorder="1" applyAlignment="1">
      <alignment horizontal="center" vertical="center"/>
    </xf>
    <xf numFmtId="166" fontId="19" fillId="0" borderId="0" xfId="6" applyNumberFormat="1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9" fillId="0" borderId="0" xfId="6" applyFont="1" applyFill="1" applyAlignment="1">
      <alignment vertical="center"/>
    </xf>
    <xf numFmtId="0" fontId="20" fillId="0" borderId="0" xfId="6" applyFont="1" applyFill="1" applyAlignment="1">
      <alignment vertical="center"/>
    </xf>
    <xf numFmtId="37" fontId="14" fillId="0" borderId="5" xfId="6" applyNumberFormat="1" applyFont="1" applyFill="1" applyBorder="1" applyAlignment="1">
      <alignment horizontal="center" vertical="center" wrapText="1"/>
    </xf>
    <xf numFmtId="0" fontId="15" fillId="5" borderId="5" xfId="6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14" fillId="2" borderId="0" xfId="6" applyFont="1" applyFill="1" applyBorder="1" applyAlignment="1">
      <alignment horizontal="justify" vertical="center"/>
    </xf>
    <xf numFmtId="37" fontId="14" fillId="8" borderId="5" xfId="6" applyNumberFormat="1" applyFont="1" applyFill="1" applyBorder="1" applyAlignment="1">
      <alignment horizontal="center" vertical="center" wrapText="1"/>
    </xf>
    <xf numFmtId="4" fontId="14" fillId="0" borderId="0" xfId="1" applyNumberFormat="1" applyFont="1" applyBorder="1" applyAlignment="1">
      <alignment horizontal="center" vertical="center" wrapText="1"/>
    </xf>
    <xf numFmtId="0" fontId="15" fillId="5" borderId="5" xfId="6" applyFont="1" applyFill="1" applyBorder="1" applyAlignment="1">
      <alignment horizontal="center" vertical="center" wrapText="1"/>
    </xf>
    <xf numFmtId="0" fontId="15" fillId="4" borderId="0" xfId="6" applyFont="1" applyFill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0" fontId="14" fillId="7" borderId="5" xfId="6" applyFont="1" applyFill="1" applyBorder="1" applyAlignment="1">
      <alignment horizontal="left" vertical="center" wrapText="1"/>
    </xf>
    <xf numFmtId="0" fontId="14" fillId="7" borderId="18" xfId="6" applyFont="1" applyFill="1" applyBorder="1" applyAlignment="1">
      <alignment horizontal="center" vertical="center"/>
    </xf>
    <xf numFmtId="0" fontId="14" fillId="2" borderId="0" xfId="6" applyFont="1" applyFill="1" applyBorder="1" applyAlignment="1">
      <alignment horizontal="justify" vertical="center"/>
    </xf>
    <xf numFmtId="0" fontId="15" fillId="5" borderId="5" xfId="6" applyFont="1" applyFill="1" applyBorder="1" applyAlignment="1">
      <alignment horizontal="center" vertical="center" wrapText="1"/>
    </xf>
    <xf numFmtId="166" fontId="14" fillId="7" borderId="5" xfId="1" applyNumberFormat="1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4" fillId="0" borderId="18" xfId="6" applyFont="1" applyFill="1" applyBorder="1" applyAlignment="1">
      <alignment horizontal="center" vertical="center"/>
    </xf>
    <xf numFmtId="0" fontId="14" fillId="0" borderId="5" xfId="6" applyFont="1" applyFill="1" applyBorder="1" applyAlignment="1">
      <alignment horizontal="left" vertical="center" wrapText="1"/>
    </xf>
    <xf numFmtId="166" fontId="14" fillId="0" borderId="5" xfId="1" applyNumberFormat="1" applyFont="1" applyFill="1" applyBorder="1" applyAlignment="1">
      <alignment horizontal="center" vertical="center" wrapText="1"/>
    </xf>
    <xf numFmtId="0" fontId="15" fillId="2" borderId="5" xfId="6" quotePrefix="1" applyFont="1" applyFill="1" applyBorder="1" applyAlignment="1">
      <alignment horizontal="left" vertical="center" wrapText="1"/>
    </xf>
    <xf numFmtId="37" fontId="15" fillId="0" borderId="5" xfId="6" applyNumberFormat="1" applyFont="1" applyFill="1" applyBorder="1" applyAlignment="1">
      <alignment horizontal="center" vertical="center" wrapText="1"/>
    </xf>
    <xf numFmtId="173" fontId="15" fillId="7" borderId="0" xfId="6" applyNumberFormat="1" applyFont="1" applyFill="1" applyBorder="1" applyAlignment="1">
      <alignment horizontal="center" vertical="center" wrapText="1"/>
    </xf>
    <xf numFmtId="0" fontId="15" fillId="5" borderId="5" xfId="6" applyFont="1" applyFill="1" applyBorder="1" applyAlignment="1">
      <alignment horizontal="center" vertical="center" wrapText="1"/>
    </xf>
    <xf numFmtId="166" fontId="14" fillId="0" borderId="5" xfId="1" applyNumberFormat="1" applyFont="1" applyFill="1" applyBorder="1" applyAlignment="1">
      <alignment horizontal="center" vertical="center" wrapText="1"/>
    </xf>
    <xf numFmtId="0" fontId="15" fillId="4" borderId="0" xfId="6" applyFont="1" applyFill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166" fontId="14" fillId="7" borderId="5" xfId="1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5" fillId="3" borderId="5" xfId="8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69" fontId="1" fillId="4" borderId="0" xfId="0" applyNumberFormat="1" applyFont="1" applyFill="1" applyAlignment="1">
      <alignment horizontal="center" vertical="center"/>
    </xf>
    <xf numFmtId="169" fontId="1" fillId="4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4" fontId="1" fillId="4" borderId="5" xfId="0" applyNumberFormat="1" applyFont="1" applyFill="1" applyBorder="1" applyAlignment="1">
      <alignment horizontal="center" vertical="center" wrapText="1"/>
    </xf>
    <xf numFmtId="169" fontId="1" fillId="4" borderId="5" xfId="2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69" fontId="1" fillId="4" borderId="0" xfId="0" applyNumberFormat="1" applyFont="1" applyFill="1" applyAlignment="1">
      <alignment vertical="center"/>
    </xf>
    <xf numFmtId="169" fontId="1" fillId="4" borderId="34" xfId="2" applyNumberFormat="1" applyFont="1" applyFill="1" applyBorder="1" applyAlignment="1">
      <alignment horizontal="center" vertical="center" wrapText="1"/>
    </xf>
    <xf numFmtId="169" fontId="1" fillId="4" borderId="34" xfId="0" applyNumberFormat="1" applyFont="1" applyFill="1" applyBorder="1" applyAlignment="1">
      <alignment horizontal="center" vertical="center" wrapText="1"/>
    </xf>
    <xf numFmtId="169" fontId="1" fillId="4" borderId="37" xfId="0" applyNumberFormat="1" applyFont="1" applyFill="1" applyBorder="1" applyAlignment="1">
      <alignment horizontal="center" vertical="center" wrapText="1"/>
    </xf>
    <xf numFmtId="0" fontId="15" fillId="2" borderId="5" xfId="6" applyFont="1" applyFill="1" applyBorder="1" applyAlignment="1">
      <alignment horizontal="left" vertical="center" wrapText="1"/>
    </xf>
    <xf numFmtId="37" fontId="15" fillId="7" borderId="5" xfId="6" applyNumberFormat="1" applyFont="1" applyFill="1" applyBorder="1" applyAlignment="1">
      <alignment horizontal="center" vertical="center" wrapText="1"/>
    </xf>
    <xf numFmtId="37" fontId="14" fillId="4" borderId="5" xfId="6" applyNumberFormat="1" applyFont="1" applyFill="1" applyBorder="1" applyAlignment="1">
      <alignment horizontal="center" vertical="center" wrapText="1"/>
    </xf>
    <xf numFmtId="0" fontId="14" fillId="4" borderId="5" xfId="6" applyFont="1" applyFill="1" applyBorder="1" applyAlignment="1">
      <alignment horizontal="left" vertical="center" wrapText="1"/>
    </xf>
    <xf numFmtId="0" fontId="14" fillId="4" borderId="18" xfId="6" applyFont="1" applyFill="1" applyBorder="1" applyAlignment="1">
      <alignment horizontal="center" vertical="center"/>
    </xf>
    <xf numFmtId="166" fontId="14" fillId="4" borderId="5" xfId="1" applyNumberFormat="1" applyFont="1" applyFill="1" applyBorder="1" applyAlignment="1">
      <alignment horizontal="center" vertical="center" wrapText="1"/>
    </xf>
    <xf numFmtId="0" fontId="15" fillId="4" borderId="5" xfId="6" quotePrefix="1" applyFont="1" applyFill="1" applyBorder="1" applyAlignment="1">
      <alignment horizontal="left" vertical="center" wrapText="1"/>
    </xf>
    <xf numFmtId="37" fontId="15" fillId="4" borderId="5" xfId="6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justify"/>
    </xf>
    <xf numFmtId="0" fontId="10" fillId="5" borderId="5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169" fontId="1" fillId="7" borderId="5" xfId="2" applyNumberFormat="1" applyFont="1" applyFill="1" applyBorder="1" applyAlignment="1">
      <alignment horizontal="center" vertical="center" wrapText="1"/>
    </xf>
    <xf numFmtId="169" fontId="1" fillId="7" borderId="34" xfId="2" applyNumberFormat="1" applyFont="1" applyFill="1" applyBorder="1" applyAlignment="1">
      <alignment horizontal="center" vertical="center" wrapText="1"/>
    </xf>
    <xf numFmtId="0" fontId="15" fillId="7" borderId="5" xfId="8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9" fontId="2" fillId="7" borderId="34" xfId="2" applyNumberFormat="1" applyFont="1" applyFill="1" applyBorder="1" applyAlignment="1">
      <alignment horizontal="center" vertical="center" wrapText="1"/>
    </xf>
    <xf numFmtId="170" fontId="15" fillId="7" borderId="0" xfId="9" applyNumberFormat="1" applyFont="1" applyFill="1" applyBorder="1" applyAlignment="1">
      <alignment horizontal="center" vertical="center" wrapText="1"/>
    </xf>
    <xf numFmtId="174" fontId="14" fillId="0" borderId="0" xfId="0" applyNumberFormat="1" applyFont="1" applyAlignment="1">
      <alignment horizontal="center" vertical="center"/>
    </xf>
    <xf numFmtId="0" fontId="15" fillId="5" borderId="18" xfId="6" applyFont="1" applyFill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/>
    </xf>
    <xf numFmtId="166" fontId="15" fillId="5" borderId="5" xfId="6" applyNumberFormat="1" applyFont="1" applyFill="1" applyBorder="1" applyAlignment="1">
      <alignment horizontal="center" vertical="center" wrapText="1"/>
    </xf>
    <xf numFmtId="166" fontId="15" fillId="5" borderId="19" xfId="6" applyNumberFormat="1" applyFont="1" applyFill="1" applyBorder="1" applyAlignment="1">
      <alignment horizontal="center" vertical="center" wrapText="1"/>
    </xf>
    <xf numFmtId="0" fontId="16" fillId="0" borderId="20" xfId="6" applyFont="1" applyFill="1" applyBorder="1" applyAlignment="1">
      <alignment horizontal="center" vertical="center"/>
    </xf>
    <xf numFmtId="0" fontId="16" fillId="0" borderId="21" xfId="6" applyFont="1" applyFill="1" applyBorder="1" applyAlignment="1">
      <alignment horizontal="center" vertical="center"/>
    </xf>
    <xf numFmtId="0" fontId="16" fillId="0" borderId="22" xfId="6" applyFont="1" applyFill="1" applyBorder="1" applyAlignment="1">
      <alignment horizontal="center" vertical="center"/>
    </xf>
    <xf numFmtId="0" fontId="15" fillId="5" borderId="19" xfId="6" applyFont="1" applyFill="1" applyBorder="1" applyAlignment="1">
      <alignment horizontal="center" vertical="center"/>
    </xf>
    <xf numFmtId="0" fontId="15" fillId="0" borderId="18" xfId="6" applyFont="1" applyFill="1" applyBorder="1" applyAlignment="1">
      <alignment horizontal="right" vertical="center"/>
    </xf>
    <xf numFmtId="0" fontId="15" fillId="0" borderId="5" xfId="6" applyFont="1" applyFill="1" applyBorder="1" applyAlignment="1">
      <alignment horizontal="right" vertical="center"/>
    </xf>
    <xf numFmtId="166" fontId="15" fillId="0" borderId="5" xfId="6" applyNumberFormat="1" applyFont="1" applyFill="1" applyBorder="1" applyAlignment="1">
      <alignment horizontal="center" vertical="center"/>
    </xf>
    <xf numFmtId="166" fontId="15" fillId="0" borderId="19" xfId="6" applyNumberFormat="1" applyFont="1" applyFill="1" applyBorder="1" applyAlignment="1">
      <alignment horizontal="center" vertical="center"/>
    </xf>
    <xf numFmtId="2" fontId="15" fillId="0" borderId="5" xfId="6" applyNumberFormat="1" applyFont="1" applyFill="1" applyBorder="1" applyAlignment="1">
      <alignment horizontal="center" vertical="center"/>
    </xf>
    <xf numFmtId="2" fontId="15" fillId="0" borderId="19" xfId="6" applyNumberFormat="1" applyFont="1" applyFill="1" applyBorder="1" applyAlignment="1">
      <alignment horizontal="center" vertical="center"/>
    </xf>
    <xf numFmtId="0" fontId="15" fillId="5" borderId="18" xfId="6" applyFont="1" applyFill="1" applyBorder="1" applyAlignment="1">
      <alignment horizontal="right" vertical="center"/>
    </xf>
    <xf numFmtId="0" fontId="15" fillId="5" borderId="5" xfId="6" applyFont="1" applyFill="1" applyBorder="1" applyAlignment="1">
      <alignment horizontal="right" vertical="center"/>
    </xf>
    <xf numFmtId="166" fontId="15" fillId="5" borderId="5" xfId="6" applyNumberFormat="1" applyFont="1" applyFill="1" applyBorder="1" applyAlignment="1">
      <alignment horizontal="center" vertical="center"/>
    </xf>
    <xf numFmtId="166" fontId="15" fillId="5" borderId="19" xfId="6" applyNumberFormat="1" applyFont="1" applyFill="1" applyBorder="1" applyAlignment="1">
      <alignment horizontal="center" vertical="center"/>
    </xf>
    <xf numFmtId="166" fontId="14" fillId="0" borderId="5" xfId="1" applyNumberFormat="1" applyFont="1" applyBorder="1" applyAlignment="1">
      <alignment horizontal="center" vertical="center" wrapText="1"/>
    </xf>
    <xf numFmtId="166" fontId="14" fillId="0" borderId="19" xfId="1" applyNumberFormat="1" applyFont="1" applyBorder="1" applyAlignment="1">
      <alignment horizontal="center" vertical="center" wrapText="1"/>
    </xf>
    <xf numFmtId="166" fontId="14" fillId="0" borderId="27" xfId="1" applyNumberFormat="1" applyFont="1" applyBorder="1" applyAlignment="1">
      <alignment horizontal="center" vertical="center" wrapText="1"/>
    </xf>
    <xf numFmtId="0" fontId="14" fillId="2" borderId="20" xfId="6" applyFont="1" applyFill="1" applyBorder="1" applyAlignment="1">
      <alignment horizontal="center" vertical="center"/>
    </xf>
    <xf numFmtId="0" fontId="14" fillId="2" borderId="27" xfId="6" applyFont="1" applyFill="1" applyBorder="1" applyAlignment="1">
      <alignment horizontal="center" vertical="center"/>
    </xf>
    <xf numFmtId="166" fontId="14" fillId="2" borderId="26" xfId="1" applyNumberFormat="1" applyFont="1" applyFill="1" applyBorder="1" applyAlignment="1">
      <alignment horizontal="center" vertical="center" wrapText="1"/>
    </xf>
    <xf numFmtId="166" fontId="14" fillId="2" borderId="21" xfId="1" applyNumberFormat="1" applyFont="1" applyFill="1" applyBorder="1" applyAlignment="1">
      <alignment horizontal="center" vertical="center" wrapText="1"/>
    </xf>
    <xf numFmtId="166" fontId="14" fillId="2" borderId="22" xfId="1" applyNumberFormat="1" applyFont="1" applyFill="1" applyBorder="1" applyAlignment="1">
      <alignment horizontal="center" vertical="center" wrapText="1"/>
    </xf>
    <xf numFmtId="0" fontId="15" fillId="5" borderId="20" xfId="6" applyFont="1" applyFill="1" applyBorder="1" applyAlignment="1">
      <alignment horizontal="center" vertical="center" wrapText="1"/>
    </xf>
    <xf numFmtId="0" fontId="15" fillId="5" borderId="21" xfId="6" applyFont="1" applyFill="1" applyBorder="1" applyAlignment="1">
      <alignment horizontal="center" vertical="center" wrapText="1"/>
    </xf>
    <xf numFmtId="0" fontId="15" fillId="5" borderId="22" xfId="6" applyFont="1" applyFill="1" applyBorder="1" applyAlignment="1">
      <alignment horizontal="center" vertical="center" wrapText="1"/>
    </xf>
    <xf numFmtId="0" fontId="15" fillId="5" borderId="5" xfId="6" applyFont="1" applyFill="1" applyBorder="1" applyAlignment="1">
      <alignment horizontal="center" vertical="center" wrapText="1"/>
    </xf>
    <xf numFmtId="0" fontId="15" fillId="5" borderId="19" xfId="6" applyFont="1" applyFill="1" applyBorder="1" applyAlignment="1">
      <alignment horizontal="center" vertical="center" wrapText="1"/>
    </xf>
    <xf numFmtId="166" fontId="14" fillId="7" borderId="5" xfId="1" applyNumberFormat="1" applyFont="1" applyFill="1" applyBorder="1" applyAlignment="1">
      <alignment horizontal="center" vertical="center" wrapText="1"/>
    </xf>
    <xf numFmtId="166" fontId="14" fillId="7" borderId="19" xfId="1" applyNumberFormat="1" applyFont="1" applyFill="1" applyBorder="1" applyAlignment="1">
      <alignment horizontal="center" vertical="center" wrapText="1"/>
    </xf>
    <xf numFmtId="0" fontId="15" fillId="0" borderId="28" xfId="6" applyFont="1" applyFill="1" applyBorder="1" applyAlignment="1">
      <alignment horizontal="center" vertical="center"/>
    </xf>
    <xf numFmtId="0" fontId="15" fillId="0" borderId="29" xfId="6" applyFont="1" applyFill="1" applyBorder="1" applyAlignment="1">
      <alignment horizontal="center" vertical="center"/>
    </xf>
    <xf numFmtId="0" fontId="15" fillId="0" borderId="30" xfId="6" applyFont="1" applyFill="1" applyBorder="1" applyAlignment="1">
      <alignment horizontal="center" vertical="center"/>
    </xf>
    <xf numFmtId="166" fontId="14" fillId="4" borderId="5" xfId="1" applyNumberFormat="1" applyFont="1" applyFill="1" applyBorder="1" applyAlignment="1">
      <alignment horizontal="center" vertical="center" wrapText="1"/>
    </xf>
    <xf numFmtId="166" fontId="14" fillId="4" borderId="19" xfId="1" applyNumberFormat="1" applyFont="1" applyFill="1" applyBorder="1" applyAlignment="1">
      <alignment horizontal="center" vertical="center" wrapText="1"/>
    </xf>
    <xf numFmtId="0" fontId="15" fillId="9" borderId="20" xfId="6" applyFont="1" applyFill="1" applyBorder="1" applyAlignment="1">
      <alignment horizontal="center" vertical="center" wrapText="1"/>
    </xf>
    <xf numFmtId="0" fontId="15" fillId="9" borderId="21" xfId="6" applyFont="1" applyFill="1" applyBorder="1" applyAlignment="1">
      <alignment horizontal="center" vertical="center" wrapText="1"/>
    </xf>
    <xf numFmtId="0" fontId="15" fillId="9" borderId="22" xfId="6" applyFont="1" applyFill="1" applyBorder="1" applyAlignment="1">
      <alignment horizontal="center" vertical="center" wrapText="1"/>
    </xf>
    <xf numFmtId="0" fontId="15" fillId="7" borderId="20" xfId="6" applyFont="1" applyFill="1" applyBorder="1" applyAlignment="1">
      <alignment horizontal="center" vertical="center" wrapText="1"/>
    </xf>
    <xf numFmtId="0" fontId="15" fillId="7" borderId="21" xfId="6" applyFont="1" applyFill="1" applyBorder="1" applyAlignment="1">
      <alignment horizontal="center" vertical="center" wrapText="1"/>
    </xf>
    <xf numFmtId="0" fontId="15" fillId="7" borderId="22" xfId="6" applyFont="1" applyFill="1" applyBorder="1" applyAlignment="1">
      <alignment horizontal="center" vertical="center" wrapText="1"/>
    </xf>
    <xf numFmtId="166" fontId="14" fillId="0" borderId="5" xfId="1" applyNumberFormat="1" applyFont="1" applyFill="1" applyBorder="1" applyAlignment="1">
      <alignment horizontal="center" vertical="center" wrapText="1"/>
    </xf>
    <xf numFmtId="166" fontId="14" fillId="0" borderId="19" xfId="1" applyNumberFormat="1" applyFont="1" applyFill="1" applyBorder="1" applyAlignment="1">
      <alignment horizontal="center" vertical="center" wrapText="1"/>
    </xf>
    <xf numFmtId="0" fontId="14" fillId="2" borderId="13" xfId="6" applyFont="1" applyFill="1" applyBorder="1" applyAlignment="1">
      <alignment horizontal="justify" vertical="center" wrapText="1"/>
    </xf>
    <xf numFmtId="0" fontId="14" fillId="2" borderId="0" xfId="6" applyFont="1" applyFill="1" applyBorder="1" applyAlignment="1">
      <alignment horizontal="justify" vertical="center" wrapText="1"/>
    </xf>
    <xf numFmtId="0" fontId="14" fillId="2" borderId="14" xfId="6" applyFont="1" applyFill="1" applyBorder="1" applyAlignment="1">
      <alignment horizontal="justify" vertical="center" wrapText="1"/>
    </xf>
    <xf numFmtId="0" fontId="14" fillId="2" borderId="13" xfId="6" applyFont="1" applyFill="1" applyBorder="1" applyAlignment="1">
      <alignment horizontal="justify" vertical="center"/>
    </xf>
    <xf numFmtId="0" fontId="14" fillId="2" borderId="0" xfId="6" applyFont="1" applyFill="1" applyBorder="1" applyAlignment="1">
      <alignment horizontal="justify" vertical="center"/>
    </xf>
    <xf numFmtId="0" fontId="14" fillId="2" borderId="14" xfId="6" applyFont="1" applyFill="1" applyBorder="1" applyAlignment="1">
      <alignment horizontal="justify" vertical="center"/>
    </xf>
    <xf numFmtId="0" fontId="14" fillId="2" borderId="13" xfId="6" applyFont="1" applyFill="1" applyBorder="1" applyAlignment="1">
      <alignment horizontal="left" vertical="center" wrapText="1"/>
    </xf>
    <xf numFmtId="0" fontId="14" fillId="2" borderId="0" xfId="6" applyFont="1" applyFill="1" applyBorder="1" applyAlignment="1">
      <alignment horizontal="left" vertical="center" wrapText="1"/>
    </xf>
    <xf numFmtId="0" fontId="14" fillId="2" borderId="14" xfId="6" applyFont="1" applyFill="1" applyBorder="1" applyAlignment="1">
      <alignment horizontal="left" vertical="center" wrapText="1"/>
    </xf>
    <xf numFmtId="0" fontId="14" fillId="2" borderId="15" xfId="6" applyFont="1" applyFill="1" applyBorder="1" applyAlignment="1">
      <alignment horizontal="center"/>
    </xf>
    <xf numFmtId="0" fontId="14" fillId="2" borderId="16" xfId="6" applyFont="1" applyFill="1" applyBorder="1" applyAlignment="1">
      <alignment horizontal="center"/>
    </xf>
    <xf numFmtId="0" fontId="14" fillId="2" borderId="17" xfId="6" applyFont="1" applyFill="1" applyBorder="1" applyAlignment="1">
      <alignment horizontal="center"/>
    </xf>
    <xf numFmtId="0" fontId="14" fillId="2" borderId="13" xfId="6" applyFont="1" applyFill="1" applyBorder="1" applyAlignment="1">
      <alignment horizontal="left" vertical="center"/>
    </xf>
    <xf numFmtId="0" fontId="14" fillId="2" borderId="0" xfId="6" applyFont="1" applyFill="1" applyBorder="1" applyAlignment="1">
      <alignment horizontal="left" vertical="center"/>
    </xf>
    <xf numFmtId="0" fontId="14" fillId="2" borderId="14" xfId="6" applyFont="1" applyFill="1" applyBorder="1" applyAlignment="1">
      <alignment horizontal="left" vertical="center"/>
    </xf>
    <xf numFmtId="0" fontId="15" fillId="2" borderId="13" xfId="6" applyFont="1" applyFill="1" applyBorder="1" applyAlignment="1">
      <alignment horizontal="center"/>
    </xf>
    <xf numFmtId="0" fontId="15" fillId="2" borderId="0" xfId="6" applyFont="1" applyFill="1" applyBorder="1" applyAlignment="1">
      <alignment horizontal="center"/>
    </xf>
    <xf numFmtId="0" fontId="15" fillId="2" borderId="14" xfId="6" applyFont="1" applyFill="1" applyBorder="1" applyAlignment="1">
      <alignment horizontal="center"/>
    </xf>
    <xf numFmtId="0" fontId="14" fillId="2" borderId="13" xfId="6" applyFont="1" applyFill="1" applyBorder="1" applyAlignment="1">
      <alignment horizontal="center"/>
    </xf>
    <xf numFmtId="0" fontId="14" fillId="2" borderId="0" xfId="6" applyFont="1" applyFill="1" applyBorder="1" applyAlignment="1">
      <alignment horizontal="center"/>
    </xf>
    <xf numFmtId="0" fontId="14" fillId="2" borderId="14" xfId="6" applyFont="1" applyFill="1" applyBorder="1" applyAlignment="1">
      <alignment horizontal="center"/>
    </xf>
    <xf numFmtId="0" fontId="14" fillId="2" borderId="13" xfId="6" applyFont="1" applyFill="1" applyBorder="1" applyAlignment="1">
      <alignment horizontal="right" vertical="center"/>
    </xf>
    <xf numFmtId="0" fontId="14" fillId="2" borderId="0" xfId="6" applyFont="1" applyFill="1" applyBorder="1" applyAlignment="1">
      <alignment horizontal="right" vertical="center"/>
    </xf>
    <xf numFmtId="0" fontId="14" fillId="2" borderId="14" xfId="6" applyFont="1" applyFill="1" applyBorder="1" applyAlignment="1">
      <alignment horizontal="right" vertical="center"/>
    </xf>
    <xf numFmtId="0" fontId="15" fillId="5" borderId="23" xfId="6" applyFont="1" applyFill="1" applyBorder="1" applyAlignment="1">
      <alignment horizontal="center" vertical="center" wrapText="1"/>
    </xf>
    <xf numFmtId="0" fontId="15" fillId="5" borderId="24" xfId="6" applyFont="1" applyFill="1" applyBorder="1" applyAlignment="1">
      <alignment horizontal="center" vertical="center" wrapText="1"/>
    </xf>
    <xf numFmtId="0" fontId="15" fillId="5" borderId="25" xfId="6" applyFont="1" applyFill="1" applyBorder="1" applyAlignment="1">
      <alignment horizontal="center" vertical="center" wrapText="1"/>
    </xf>
    <xf numFmtId="0" fontId="15" fillId="4" borderId="13" xfId="6" applyFont="1" applyFill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15" fillId="4" borderId="14" xfId="6" applyFont="1" applyFill="1" applyBorder="1" applyAlignment="1">
      <alignment horizontal="center" vertical="center"/>
    </xf>
    <xf numFmtId="0" fontId="15" fillId="2" borderId="18" xfId="6" applyFont="1" applyFill="1" applyBorder="1" applyAlignment="1">
      <alignment horizontal="center" vertical="center"/>
    </xf>
    <xf numFmtId="0" fontId="15" fillId="2" borderId="5" xfId="6" applyFont="1" applyFill="1" applyBorder="1" applyAlignment="1">
      <alignment horizontal="center" vertical="center"/>
    </xf>
    <xf numFmtId="0" fontId="15" fillId="2" borderId="19" xfId="6" applyFont="1" applyFill="1" applyBorder="1" applyAlignment="1">
      <alignment horizontal="center" vertical="center"/>
    </xf>
    <xf numFmtId="0" fontId="14" fillId="2" borderId="20" xfId="6" applyFont="1" applyFill="1" applyBorder="1" applyAlignment="1">
      <alignment horizontal="justify" vertical="center" wrapText="1"/>
    </xf>
    <xf numFmtId="0" fontId="14" fillId="2" borderId="21" xfId="6" applyFont="1" applyFill="1" applyBorder="1" applyAlignment="1">
      <alignment horizontal="justify" vertical="center" wrapText="1"/>
    </xf>
    <xf numFmtId="0" fontId="14" fillId="2" borderId="22" xfId="6" applyFont="1" applyFill="1" applyBorder="1" applyAlignment="1">
      <alignment horizontal="justify" vertical="center" wrapText="1"/>
    </xf>
    <xf numFmtId="0" fontId="19" fillId="0" borderId="0" xfId="6" applyFont="1" applyBorder="1" applyAlignment="1">
      <alignment horizontal="center" vertical="center"/>
    </xf>
    <xf numFmtId="0" fontId="15" fillId="4" borderId="20" xfId="6" applyFont="1" applyFill="1" applyBorder="1" applyAlignment="1">
      <alignment horizontal="center" vertical="center"/>
    </xf>
    <xf numFmtId="0" fontId="15" fillId="4" borderId="21" xfId="6" applyFont="1" applyFill="1" applyBorder="1" applyAlignment="1">
      <alignment horizontal="center" vertical="center"/>
    </xf>
    <xf numFmtId="0" fontId="15" fillId="4" borderId="22" xfId="6" applyFont="1" applyFill="1" applyBorder="1" applyAlignment="1">
      <alignment horizontal="center" vertical="center"/>
    </xf>
    <xf numFmtId="0" fontId="21" fillId="0" borderId="20" xfId="6" applyFont="1" applyFill="1" applyBorder="1" applyAlignment="1">
      <alignment horizontal="center" vertical="center"/>
    </xf>
    <xf numFmtId="0" fontId="21" fillId="0" borderId="21" xfId="6" applyFont="1" applyFill="1" applyBorder="1" applyAlignment="1">
      <alignment horizontal="center" vertical="center"/>
    </xf>
    <xf numFmtId="169" fontId="21" fillId="7" borderId="21" xfId="6" applyNumberFormat="1" applyFont="1" applyFill="1" applyBorder="1" applyAlignment="1">
      <alignment horizontal="center" vertical="center"/>
    </xf>
    <xf numFmtId="169" fontId="21" fillId="7" borderId="22" xfId="6" applyNumberFormat="1" applyFont="1" applyFill="1" applyBorder="1" applyAlignment="1">
      <alignment horizontal="center" vertical="center"/>
    </xf>
    <xf numFmtId="0" fontId="15" fillId="5" borderId="26" xfId="6" applyFont="1" applyFill="1" applyBorder="1" applyAlignment="1">
      <alignment horizontal="center" vertical="center" wrapText="1"/>
    </xf>
    <xf numFmtId="166" fontId="14" fillId="0" borderId="26" xfId="1" applyNumberFormat="1" applyFont="1" applyBorder="1" applyAlignment="1">
      <alignment horizontal="center" vertical="center" wrapText="1"/>
    </xf>
    <xf numFmtId="166" fontId="14" fillId="0" borderId="22" xfId="1" applyNumberFormat="1" applyFont="1" applyBorder="1" applyAlignment="1">
      <alignment horizontal="center" vertical="center" wrapText="1"/>
    </xf>
    <xf numFmtId="0" fontId="15" fillId="5" borderId="20" xfId="6" applyFont="1" applyFill="1" applyBorder="1" applyAlignment="1">
      <alignment horizontal="center" vertical="center"/>
    </xf>
    <xf numFmtId="0" fontId="15" fillId="5" borderId="21" xfId="6" applyFont="1" applyFill="1" applyBorder="1" applyAlignment="1">
      <alignment horizontal="center" vertical="center"/>
    </xf>
    <xf numFmtId="0" fontId="15" fillId="5" borderId="22" xfId="6" applyFont="1" applyFill="1" applyBorder="1" applyAlignment="1">
      <alignment horizontal="center" vertical="center"/>
    </xf>
    <xf numFmtId="0" fontId="15" fillId="0" borderId="20" xfId="6" applyFont="1" applyFill="1" applyBorder="1" applyAlignment="1">
      <alignment horizontal="right" vertical="center"/>
    </xf>
    <xf numFmtId="0" fontId="15" fillId="0" borderId="21" xfId="6" applyFont="1" applyFill="1" applyBorder="1" applyAlignment="1">
      <alignment horizontal="right" vertical="center"/>
    </xf>
    <xf numFmtId="0" fontId="15" fillId="0" borderId="27" xfId="6" applyFont="1" applyFill="1" applyBorder="1" applyAlignment="1">
      <alignment horizontal="right" vertical="center"/>
    </xf>
    <xf numFmtId="166" fontId="15" fillId="0" borderId="26" xfId="6" applyNumberFormat="1" applyFont="1" applyFill="1" applyBorder="1" applyAlignment="1">
      <alignment horizontal="center" vertical="center"/>
    </xf>
    <xf numFmtId="166" fontId="15" fillId="0" borderId="21" xfId="6" applyNumberFormat="1" applyFont="1" applyFill="1" applyBorder="1" applyAlignment="1">
      <alignment horizontal="center" vertical="center"/>
    </xf>
    <xf numFmtId="166" fontId="15" fillId="0" borderId="22" xfId="6" applyNumberFormat="1" applyFont="1" applyFill="1" applyBorder="1" applyAlignment="1">
      <alignment horizontal="center" vertical="center"/>
    </xf>
    <xf numFmtId="2" fontId="15" fillId="0" borderId="26" xfId="6" applyNumberFormat="1" applyFont="1" applyFill="1" applyBorder="1" applyAlignment="1">
      <alignment horizontal="center" vertical="center"/>
    </xf>
    <xf numFmtId="2" fontId="15" fillId="0" borderId="21" xfId="6" applyNumberFormat="1" applyFont="1" applyFill="1" applyBorder="1" applyAlignment="1">
      <alignment horizontal="center" vertical="center"/>
    </xf>
    <xf numFmtId="2" fontId="15" fillId="0" borderId="22" xfId="6" applyNumberFormat="1" applyFont="1" applyFill="1" applyBorder="1" applyAlignment="1">
      <alignment horizontal="center" vertical="center"/>
    </xf>
    <xf numFmtId="0" fontId="15" fillId="5" borderId="20" xfId="6" applyFont="1" applyFill="1" applyBorder="1" applyAlignment="1">
      <alignment horizontal="right" vertical="center"/>
    </xf>
    <xf numFmtId="0" fontId="15" fillId="5" borderId="21" xfId="6" applyFont="1" applyFill="1" applyBorder="1" applyAlignment="1">
      <alignment horizontal="right" vertical="center"/>
    </xf>
    <xf numFmtId="0" fontId="15" fillId="5" borderId="27" xfId="6" applyFont="1" applyFill="1" applyBorder="1" applyAlignment="1">
      <alignment horizontal="right" vertical="center"/>
    </xf>
    <xf numFmtId="166" fontId="15" fillId="5" borderId="26" xfId="6" applyNumberFormat="1" applyFont="1" applyFill="1" applyBorder="1" applyAlignment="1">
      <alignment horizontal="center" vertical="center"/>
    </xf>
    <xf numFmtId="166" fontId="15" fillId="5" borderId="21" xfId="6" applyNumberFormat="1" applyFont="1" applyFill="1" applyBorder="1" applyAlignment="1">
      <alignment horizontal="center" vertical="center"/>
    </xf>
    <xf numFmtId="166" fontId="15" fillId="5" borderId="22" xfId="6" applyNumberFormat="1" applyFont="1" applyFill="1" applyBorder="1" applyAlignment="1">
      <alignment horizontal="center" vertical="center"/>
    </xf>
    <xf numFmtId="166" fontId="14" fillId="0" borderId="43" xfId="1" applyNumberFormat="1" applyFont="1" applyBorder="1" applyAlignment="1">
      <alignment horizontal="center" vertical="center" wrapText="1"/>
    </xf>
    <xf numFmtId="166" fontId="14" fillId="0" borderId="44" xfId="1" applyNumberFormat="1" applyFont="1" applyBorder="1" applyAlignment="1">
      <alignment horizontal="center" vertical="center" wrapText="1"/>
    </xf>
    <xf numFmtId="166" fontId="14" fillId="0" borderId="45" xfId="1" applyNumberFormat="1" applyFont="1" applyBorder="1" applyAlignment="1">
      <alignment horizontal="center" vertical="center" wrapText="1"/>
    </xf>
    <xf numFmtId="0" fontId="15" fillId="5" borderId="27" xfId="6" applyFont="1" applyFill="1" applyBorder="1" applyAlignment="1">
      <alignment horizontal="center" vertical="center"/>
    </xf>
    <xf numFmtId="166" fontId="15" fillId="5" borderId="26" xfId="6" applyNumberFormat="1" applyFont="1" applyFill="1" applyBorder="1" applyAlignment="1">
      <alignment horizontal="center" vertical="center" wrapText="1"/>
    </xf>
    <xf numFmtId="166" fontId="15" fillId="5" borderId="22" xfId="6" applyNumberFormat="1" applyFont="1" applyFill="1" applyBorder="1" applyAlignment="1">
      <alignment horizontal="center" vertical="center" wrapText="1"/>
    </xf>
    <xf numFmtId="166" fontId="15" fillId="7" borderId="5" xfId="6" applyNumberFormat="1" applyFont="1" applyFill="1" applyBorder="1" applyAlignment="1">
      <alignment horizontal="center" vertical="center" wrapText="1"/>
    </xf>
    <xf numFmtId="166" fontId="15" fillId="7" borderId="19" xfId="6" applyNumberFormat="1" applyFont="1" applyFill="1" applyBorder="1" applyAlignment="1">
      <alignment horizontal="center" vertical="center" wrapText="1"/>
    </xf>
    <xf numFmtId="43" fontId="2" fillId="4" borderId="40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1" fillId="4" borderId="33" xfId="0" applyFont="1" applyFill="1" applyBorder="1" applyAlignment="1">
      <alignment horizontal="left" vertical="center" wrapText="1"/>
    </xf>
    <xf numFmtId="0" fontId="11" fillId="4" borderId="36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10" fillId="6" borderId="41" xfId="0" applyFont="1" applyFill="1" applyBorder="1" applyAlignment="1">
      <alignment horizontal="center" vertical="center" wrapText="1"/>
    </xf>
    <xf numFmtId="0" fontId="10" fillId="6" borderId="36" xfId="0" applyFont="1" applyFill="1" applyBorder="1" applyAlignment="1">
      <alignment horizontal="center" vertical="center" wrapText="1"/>
    </xf>
    <xf numFmtId="0" fontId="10" fillId="5" borderId="33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left" vertical="center" wrapText="1"/>
    </xf>
    <xf numFmtId="0" fontId="10" fillId="4" borderId="36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left" vertical="center" wrapText="1"/>
    </xf>
    <xf numFmtId="0" fontId="12" fillId="4" borderId="42" xfId="0" applyFont="1" applyFill="1" applyBorder="1" applyAlignment="1">
      <alignment horizontal="justify" vertical="center"/>
    </xf>
    <xf numFmtId="0" fontId="11" fillId="4" borderId="33" xfId="0" applyFont="1" applyFill="1" applyBorder="1" applyAlignment="1">
      <alignment horizontal="justify" vertical="center" wrapText="1"/>
    </xf>
    <xf numFmtId="0" fontId="11" fillId="4" borderId="36" xfId="0" applyFont="1" applyFill="1" applyBorder="1" applyAlignment="1">
      <alignment horizontal="justify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4" borderId="26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3" fillId="4" borderId="27" xfId="0" applyFont="1" applyFill="1" applyBorder="1" applyAlignment="1">
      <alignment horizontal="left" vertical="center"/>
    </xf>
    <xf numFmtId="2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3" fillId="4" borderId="0" xfId="6" applyFont="1" applyFill="1" applyAlignment="1">
      <alignment horizontal="center"/>
    </xf>
    <xf numFmtId="0" fontId="3" fillId="4" borderId="0" xfId="6" applyFont="1" applyFill="1" applyBorder="1" applyAlignment="1">
      <alignment horizontal="center" vertical="center" textRotation="90" wrapText="1"/>
    </xf>
    <xf numFmtId="0" fontId="3" fillId="4" borderId="16" xfId="6" applyFont="1" applyFill="1" applyBorder="1" applyAlignment="1">
      <alignment horizontal="center" vertical="center" textRotation="90" wrapText="1"/>
    </xf>
    <xf numFmtId="0" fontId="14" fillId="2" borderId="18" xfId="8" applyFont="1" applyFill="1" applyBorder="1" applyAlignment="1">
      <alignment horizontal="center" vertical="center" wrapText="1"/>
    </xf>
    <xf numFmtId="0" fontId="14" fillId="2" borderId="5" xfId="8" applyFont="1" applyFill="1" applyBorder="1" applyAlignment="1">
      <alignment horizontal="center" vertical="center" wrapText="1"/>
    </xf>
    <xf numFmtId="0" fontId="15" fillId="6" borderId="18" xfId="8" applyFont="1" applyFill="1" applyBorder="1" applyAlignment="1">
      <alignment horizontal="center" vertical="center"/>
    </xf>
    <xf numFmtId="0" fontId="15" fillId="6" borderId="5" xfId="8" applyFont="1" applyFill="1" applyBorder="1" applyAlignment="1">
      <alignment horizontal="center" vertical="center"/>
    </xf>
    <xf numFmtId="0" fontId="14" fillId="4" borderId="15" xfId="8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5" fillId="3" borderId="19" xfId="8" applyFont="1" applyFill="1" applyBorder="1" applyAlignment="1">
      <alignment horizontal="center" vertical="center"/>
    </xf>
    <xf numFmtId="0" fontId="15" fillId="3" borderId="18" xfId="8" applyFont="1" applyFill="1" applyBorder="1" applyAlignment="1">
      <alignment horizontal="center" vertical="center" wrapText="1"/>
    </xf>
    <xf numFmtId="0" fontId="15" fillId="3" borderId="5" xfId="8" applyFont="1" applyFill="1" applyBorder="1" applyAlignment="1">
      <alignment horizontal="center" vertical="center" wrapText="1"/>
    </xf>
    <xf numFmtId="0" fontId="14" fillId="2" borderId="13" xfId="8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4" borderId="18" xfId="8" applyFont="1" applyFill="1" applyBorder="1" applyAlignment="1">
      <alignment horizontal="center" vertical="center" wrapText="1"/>
    </xf>
    <xf numFmtId="0" fontId="14" fillId="4" borderId="5" xfId="8" applyFont="1" applyFill="1" applyBorder="1" applyAlignment="1">
      <alignment horizontal="center" vertical="center" wrapText="1"/>
    </xf>
    <xf numFmtId="0" fontId="15" fillId="3" borderId="23" xfId="8" applyFont="1" applyFill="1" applyBorder="1" applyAlignment="1">
      <alignment horizontal="center" vertical="center"/>
    </xf>
    <xf numFmtId="0" fontId="15" fillId="3" borderId="24" xfId="8" applyFont="1" applyFill="1" applyBorder="1" applyAlignment="1">
      <alignment horizontal="center" vertical="center"/>
    </xf>
    <xf numFmtId="0" fontId="15" fillId="3" borderId="25" xfId="8" applyFont="1" applyFill="1" applyBorder="1" applyAlignment="1">
      <alignment horizontal="center" vertical="center"/>
    </xf>
    <xf numFmtId="0" fontId="14" fillId="10" borderId="18" xfId="6" applyFont="1" applyFill="1" applyBorder="1" applyAlignment="1">
      <alignment horizontal="center" vertical="center"/>
    </xf>
    <xf numFmtId="166" fontId="14" fillId="10" borderId="5" xfId="1" applyNumberFormat="1" applyFont="1" applyFill="1" applyBorder="1" applyAlignment="1">
      <alignment horizontal="center" vertical="center" wrapText="1"/>
    </xf>
    <xf numFmtId="166" fontId="14" fillId="10" borderId="5" xfId="1" applyNumberFormat="1" applyFont="1" applyFill="1" applyBorder="1" applyAlignment="1">
      <alignment horizontal="center" vertical="center" wrapText="1"/>
    </xf>
    <xf numFmtId="166" fontId="14" fillId="10" borderId="19" xfId="1" applyNumberFormat="1" applyFont="1" applyFill="1" applyBorder="1" applyAlignment="1">
      <alignment horizontal="center" vertical="center" wrapText="1"/>
    </xf>
    <xf numFmtId="37" fontId="14" fillId="10" borderId="5" xfId="6" applyNumberFormat="1" applyFont="1" applyFill="1" applyBorder="1" applyAlignment="1">
      <alignment horizontal="center" vertical="center" wrapText="1"/>
    </xf>
    <xf numFmtId="166" fontId="14" fillId="11" borderId="5" xfId="1" applyNumberFormat="1" applyFont="1" applyFill="1" applyBorder="1" applyAlignment="1">
      <alignment horizontal="center" vertical="center" wrapText="1"/>
    </xf>
    <xf numFmtId="166" fontId="14" fillId="11" borderId="5" xfId="1" applyNumberFormat="1" applyFont="1" applyFill="1" applyBorder="1" applyAlignment="1">
      <alignment horizontal="center" vertical="center" wrapText="1"/>
    </xf>
    <xf numFmtId="166" fontId="14" fillId="11" borderId="19" xfId="1" applyNumberFormat="1" applyFont="1" applyFill="1" applyBorder="1" applyAlignment="1">
      <alignment horizontal="center" vertical="center" wrapText="1"/>
    </xf>
  </cellXfs>
  <cellStyles count="22">
    <cellStyle name="Moeda" xfId="1" builtinId="4"/>
    <cellStyle name="Moeda 2" xfId="2" xr:uid="{00000000-0005-0000-0000-000001000000}"/>
    <cellStyle name="Moeda 2 2" xfId="3" xr:uid="{00000000-0005-0000-0000-000002000000}"/>
    <cellStyle name="Moeda 3" xfId="4" xr:uid="{00000000-0005-0000-0000-000003000000}"/>
    <cellStyle name="Moeda 4" xfId="5" xr:uid="{00000000-0005-0000-0000-000004000000}"/>
    <cellStyle name="Normal" xfId="0" builtinId="0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Porcentagem" xfId="9" builtinId="5"/>
    <cellStyle name="Porcentagem 2" xfId="10" xr:uid="{00000000-0005-0000-0000-00000A000000}"/>
    <cellStyle name="Porcentagem 3" xfId="11" xr:uid="{00000000-0005-0000-0000-00000B000000}"/>
    <cellStyle name="Porcentagem 4" xfId="12" xr:uid="{00000000-0005-0000-0000-00000C000000}"/>
    <cellStyle name="Porcentagem 4 2" xfId="13" xr:uid="{00000000-0005-0000-0000-00000D000000}"/>
    <cellStyle name="Porcentagem 4 2 2" xfId="14" xr:uid="{00000000-0005-0000-0000-00000E000000}"/>
    <cellStyle name="Separador de milhares 2" xfId="15" xr:uid="{00000000-0005-0000-0000-00000F000000}"/>
    <cellStyle name="Separador de milhares 2 2" xfId="16" xr:uid="{00000000-0005-0000-0000-000010000000}"/>
    <cellStyle name="Separador de milhares 3" xfId="17" xr:uid="{00000000-0005-0000-0000-000011000000}"/>
    <cellStyle name="Título 1 1" xfId="18" xr:uid="{00000000-0005-0000-0000-000012000000}"/>
    <cellStyle name="Título 5" xfId="19" xr:uid="{00000000-0005-0000-0000-000013000000}"/>
    <cellStyle name="Vírgula" xfId="20" builtinId="3"/>
    <cellStyle name="Vírgula 2" xfId="21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tabColor theme="1"/>
  </sheetPr>
  <dimension ref="A1:AB342"/>
  <sheetViews>
    <sheetView tabSelected="1" view="pageBreakPreview" topLeftCell="C285" zoomScale="60" zoomScaleNormal="110" workbookViewId="0">
      <selection activeCell="I293" sqref="I293"/>
    </sheetView>
  </sheetViews>
  <sheetFormatPr defaultColWidth="9.1796875" defaultRowHeight="13.5" x14ac:dyDescent="0.35"/>
  <cols>
    <col min="1" max="1" width="8" style="143" customWidth="1"/>
    <col min="2" max="2" width="88.1796875" style="143" customWidth="1"/>
    <col min="3" max="3" width="12.7265625" style="143" customWidth="1"/>
    <col min="4" max="4" width="14.54296875" style="143" customWidth="1"/>
    <col min="5" max="5" width="16.453125" style="143" customWidth="1"/>
    <col min="6" max="6" width="10" style="143" customWidth="1"/>
    <col min="7" max="7" width="10.54296875" style="143" customWidth="1"/>
    <col min="8" max="8" width="15.7265625" style="143" customWidth="1"/>
    <col min="9" max="9" width="20.81640625" style="167" customWidth="1"/>
    <col min="10" max="10" width="13.1796875" style="168" customWidth="1"/>
    <col min="11" max="11" width="14.54296875" style="168" bestFit="1" customWidth="1"/>
    <col min="12" max="12" width="15.1796875" style="168" customWidth="1"/>
    <col min="13" max="15" width="9.1796875" style="168"/>
    <col min="16" max="16" width="17.453125" style="168" customWidth="1"/>
    <col min="17" max="28" width="9.1796875" style="168"/>
    <col min="29" max="16384" width="9.1796875" style="143"/>
  </cols>
  <sheetData>
    <row r="1" spans="1:28" s="141" customFormat="1" ht="16.5" customHeight="1" x14ac:dyDescent="0.25">
      <c r="A1" s="420" t="s">
        <v>131</v>
      </c>
      <c r="B1" s="421"/>
      <c r="C1" s="421"/>
      <c r="D1" s="421"/>
      <c r="E1" s="421"/>
      <c r="F1" s="421"/>
      <c r="G1" s="422"/>
      <c r="H1" s="140"/>
      <c r="I1" s="140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</row>
    <row r="2" spans="1:28" s="141" customFormat="1" ht="15.75" customHeight="1" x14ac:dyDescent="0.25">
      <c r="A2" s="423" t="s">
        <v>192</v>
      </c>
      <c r="B2" s="424"/>
      <c r="C2" s="424"/>
      <c r="D2" s="424"/>
      <c r="E2" s="424"/>
      <c r="F2" s="424"/>
      <c r="G2" s="425"/>
      <c r="H2" s="145"/>
      <c r="I2" s="145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</row>
    <row r="3" spans="1:28" s="141" customFormat="1" ht="15.75" customHeight="1" x14ac:dyDescent="0.25">
      <c r="A3" s="423" t="s">
        <v>193</v>
      </c>
      <c r="B3" s="424"/>
      <c r="C3" s="424"/>
      <c r="D3" s="424"/>
      <c r="E3" s="424"/>
      <c r="F3" s="424"/>
      <c r="G3" s="425"/>
      <c r="H3" s="145"/>
      <c r="I3" s="145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</row>
    <row r="4" spans="1:28" s="141" customFormat="1" ht="15.75" customHeight="1" x14ac:dyDescent="0.25">
      <c r="A4" s="423" t="s">
        <v>194</v>
      </c>
      <c r="B4" s="424"/>
      <c r="C4" s="424"/>
      <c r="D4" s="424"/>
      <c r="E4" s="424"/>
      <c r="F4" s="424"/>
      <c r="G4" s="425"/>
      <c r="H4" s="145"/>
      <c r="I4" s="145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</row>
    <row r="5" spans="1:28" s="141" customFormat="1" x14ac:dyDescent="0.25">
      <c r="A5" s="426" t="s">
        <v>195</v>
      </c>
      <c r="B5" s="427"/>
      <c r="C5" s="427"/>
      <c r="D5" s="427" t="s">
        <v>196</v>
      </c>
      <c r="E5" s="427"/>
      <c r="F5" s="427"/>
      <c r="G5" s="428"/>
      <c r="H5" s="145"/>
      <c r="I5" s="145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</row>
    <row r="6" spans="1:28" s="141" customFormat="1" x14ac:dyDescent="0.25">
      <c r="A6" s="350" t="s">
        <v>48</v>
      </c>
      <c r="B6" s="351"/>
      <c r="C6" s="351"/>
      <c r="D6" s="351"/>
      <c r="E6" s="351"/>
      <c r="F6" s="351"/>
      <c r="G6" s="357"/>
      <c r="H6" s="146"/>
      <c r="I6" s="146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</row>
    <row r="7" spans="1:28" s="141" customFormat="1" ht="46.5" customHeight="1" x14ac:dyDescent="0.25">
      <c r="A7" s="429" t="s">
        <v>222</v>
      </c>
      <c r="B7" s="430"/>
      <c r="C7" s="430"/>
      <c r="D7" s="430"/>
      <c r="E7" s="430"/>
      <c r="F7" s="430"/>
      <c r="G7" s="431"/>
      <c r="H7" s="147"/>
      <c r="I7" s="147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</row>
    <row r="8" spans="1:28" s="141" customFormat="1" x14ac:dyDescent="0.25">
      <c r="A8" s="350" t="s">
        <v>46</v>
      </c>
      <c r="B8" s="351"/>
      <c r="C8" s="351"/>
      <c r="D8" s="351"/>
      <c r="E8" s="351"/>
      <c r="F8" s="351"/>
      <c r="G8" s="357"/>
      <c r="H8" s="146"/>
      <c r="I8" s="146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</row>
    <row r="9" spans="1:28" s="141" customFormat="1" ht="30.75" customHeight="1" x14ac:dyDescent="0.25">
      <c r="A9" s="396" t="s">
        <v>40</v>
      </c>
      <c r="B9" s="397"/>
      <c r="C9" s="397"/>
      <c r="D9" s="397"/>
      <c r="E9" s="397"/>
      <c r="F9" s="397"/>
      <c r="G9" s="398"/>
      <c r="H9" s="147"/>
      <c r="I9" s="147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</row>
    <row r="10" spans="1:28" s="141" customFormat="1" x14ac:dyDescent="0.25">
      <c r="A10" s="350" t="s">
        <v>47</v>
      </c>
      <c r="B10" s="351"/>
      <c r="C10" s="351"/>
      <c r="D10" s="351"/>
      <c r="E10" s="351"/>
      <c r="F10" s="351"/>
      <c r="G10" s="357"/>
      <c r="H10" s="146"/>
      <c r="I10" s="146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</row>
    <row r="11" spans="1:28" s="141" customFormat="1" ht="28.5" hidden="1" customHeight="1" x14ac:dyDescent="0.25">
      <c r="A11" s="177" t="s">
        <v>42</v>
      </c>
      <c r="B11" s="225" t="s">
        <v>43</v>
      </c>
      <c r="C11" s="225" t="s">
        <v>144</v>
      </c>
      <c r="D11" s="225" t="s">
        <v>44</v>
      </c>
      <c r="E11" s="225" t="s">
        <v>45</v>
      </c>
      <c r="F11" s="379" t="s">
        <v>53</v>
      </c>
      <c r="G11" s="380"/>
      <c r="H11" s="148"/>
      <c r="I11" s="171"/>
      <c r="J11" s="224"/>
      <c r="K11" s="224"/>
      <c r="L11" s="22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</row>
    <row r="12" spans="1:28" s="141" customFormat="1" ht="27" hidden="1" x14ac:dyDescent="0.25">
      <c r="A12" s="178">
        <v>1</v>
      </c>
      <c r="B12" s="173" t="s">
        <v>225</v>
      </c>
      <c r="C12" s="150">
        <v>1</v>
      </c>
      <c r="D12" s="151">
        <v>4659.7</v>
      </c>
      <c r="E12" s="151">
        <v>4659.7</v>
      </c>
      <c r="F12" s="368">
        <v>55916.4</v>
      </c>
      <c r="G12" s="369"/>
      <c r="H12" s="152"/>
      <c r="I12" s="219">
        <v>1</v>
      </c>
      <c r="J12" s="219">
        <v>1</v>
      </c>
      <c r="K12" s="220">
        <v>1</v>
      </c>
      <c r="L12" s="153">
        <f>K12*D12</f>
        <v>4659.7</v>
      </c>
      <c r="M12" s="144"/>
      <c r="N12" s="144"/>
      <c r="O12" s="144"/>
      <c r="P12" s="221">
        <v>4659.7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</row>
    <row r="13" spans="1:28" s="141" customFormat="1" ht="27" hidden="1" x14ac:dyDescent="0.25">
      <c r="A13" s="178">
        <v>2</v>
      </c>
      <c r="B13" s="173" t="s">
        <v>226</v>
      </c>
      <c r="C13" s="150">
        <v>6</v>
      </c>
      <c r="D13" s="151">
        <v>8256.06</v>
      </c>
      <c r="E13" s="151">
        <v>49536.36</v>
      </c>
      <c r="F13" s="368">
        <v>594436.31999999995</v>
      </c>
      <c r="G13" s="369"/>
      <c r="H13" s="152"/>
      <c r="I13" s="219">
        <f>C13*2</f>
        <v>12</v>
      </c>
      <c r="J13" s="219">
        <v>12</v>
      </c>
      <c r="K13" s="220">
        <v>6</v>
      </c>
      <c r="L13" s="153">
        <f t="shared" ref="L13:L19" si="0">K13*D13</f>
        <v>49536.36</v>
      </c>
      <c r="M13" s="144"/>
      <c r="N13" s="144"/>
      <c r="O13" s="144"/>
      <c r="P13" s="221">
        <v>49536.36</v>
      </c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</row>
    <row r="14" spans="1:28" s="141" customFormat="1" ht="27" hidden="1" x14ac:dyDescent="0.25">
      <c r="A14" s="178">
        <v>3</v>
      </c>
      <c r="B14" s="173" t="s">
        <v>227</v>
      </c>
      <c r="C14" s="150">
        <v>6</v>
      </c>
      <c r="D14" s="151">
        <v>10130.040000000001</v>
      </c>
      <c r="E14" s="151">
        <v>60780.24</v>
      </c>
      <c r="F14" s="368">
        <v>729362.88</v>
      </c>
      <c r="G14" s="369"/>
      <c r="H14" s="152"/>
      <c r="I14" s="219">
        <f>C14*2</f>
        <v>12</v>
      </c>
      <c r="J14" s="219">
        <v>12</v>
      </c>
      <c r="K14" s="220">
        <v>6</v>
      </c>
      <c r="L14" s="153">
        <f t="shared" si="0"/>
        <v>60780.240000000005</v>
      </c>
      <c r="M14" s="144"/>
      <c r="N14" s="144"/>
      <c r="O14" s="144"/>
      <c r="P14" s="221">
        <v>60780.240000000005</v>
      </c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</row>
    <row r="15" spans="1:28" s="141" customFormat="1" ht="27" hidden="1" x14ac:dyDescent="0.25">
      <c r="A15" s="178">
        <v>4</v>
      </c>
      <c r="B15" s="173" t="s">
        <v>228</v>
      </c>
      <c r="C15" s="150">
        <v>6</v>
      </c>
      <c r="D15" s="151">
        <v>8288.2199999999993</v>
      </c>
      <c r="E15" s="151">
        <v>49729.32</v>
      </c>
      <c r="F15" s="368">
        <v>596751.84</v>
      </c>
      <c r="G15" s="369"/>
      <c r="H15" s="152"/>
      <c r="I15" s="219">
        <f>C15*2</f>
        <v>12</v>
      </c>
      <c r="J15" s="219">
        <v>12</v>
      </c>
      <c r="K15" s="220">
        <v>6</v>
      </c>
      <c r="L15" s="153">
        <f t="shared" si="0"/>
        <v>49729.319999999992</v>
      </c>
      <c r="M15" s="144"/>
      <c r="N15" s="144"/>
      <c r="O15" s="144"/>
      <c r="P15" s="221">
        <v>49729.319999999992</v>
      </c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</row>
    <row r="16" spans="1:28" s="141" customFormat="1" ht="27" hidden="1" x14ac:dyDescent="0.25">
      <c r="A16" s="178">
        <v>5</v>
      </c>
      <c r="B16" s="173" t="s">
        <v>229</v>
      </c>
      <c r="C16" s="150">
        <v>6</v>
      </c>
      <c r="D16" s="151">
        <v>10162.200000000001</v>
      </c>
      <c r="E16" s="151">
        <v>60973.2</v>
      </c>
      <c r="F16" s="368">
        <v>731678.4</v>
      </c>
      <c r="G16" s="369"/>
      <c r="H16" s="152"/>
      <c r="I16" s="219">
        <f>C16*2</f>
        <v>12</v>
      </c>
      <c r="J16" s="219">
        <v>12</v>
      </c>
      <c r="K16" s="220">
        <v>6</v>
      </c>
      <c r="L16" s="153">
        <f t="shared" si="0"/>
        <v>60973.200000000004</v>
      </c>
      <c r="M16" s="144"/>
      <c r="N16" s="144"/>
      <c r="O16" s="144"/>
      <c r="P16" s="221">
        <v>60973.200000000004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</row>
    <row r="17" spans="1:28" s="141" customFormat="1" ht="27" hidden="1" x14ac:dyDescent="0.25">
      <c r="A17" s="178">
        <v>6</v>
      </c>
      <c r="B17" s="173" t="s">
        <v>230</v>
      </c>
      <c r="C17" s="150">
        <v>1</v>
      </c>
      <c r="D17" s="151">
        <v>8088.68</v>
      </c>
      <c r="E17" s="151">
        <v>8088.68</v>
      </c>
      <c r="F17" s="368">
        <v>97064.16</v>
      </c>
      <c r="G17" s="369"/>
      <c r="H17" s="152"/>
      <c r="I17" s="219">
        <f>C17*2</f>
        <v>2</v>
      </c>
      <c r="J17" s="219">
        <v>2</v>
      </c>
      <c r="K17" s="220">
        <v>1</v>
      </c>
      <c r="L17" s="153">
        <f t="shared" si="0"/>
        <v>8088.68</v>
      </c>
      <c r="M17" s="144"/>
      <c r="N17" s="144"/>
      <c r="O17" s="144"/>
      <c r="P17" s="221">
        <v>8088.68</v>
      </c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</row>
    <row r="18" spans="1:28" s="141" customFormat="1" ht="27" hidden="1" x14ac:dyDescent="0.25">
      <c r="A18" s="178">
        <v>7</v>
      </c>
      <c r="B18" s="173" t="s">
        <v>231</v>
      </c>
      <c r="C18" s="150">
        <v>2</v>
      </c>
      <c r="D18" s="151">
        <v>3747.41</v>
      </c>
      <c r="E18" s="151">
        <v>7494.82</v>
      </c>
      <c r="F18" s="368">
        <v>89937.84</v>
      </c>
      <c r="G18" s="369"/>
      <c r="H18" s="152"/>
      <c r="I18" s="219">
        <v>4</v>
      </c>
      <c r="J18" s="222">
        <v>2</v>
      </c>
      <c r="K18" s="220">
        <v>2</v>
      </c>
      <c r="L18" s="153">
        <f t="shared" si="0"/>
        <v>7494.82</v>
      </c>
      <c r="M18" s="144"/>
      <c r="N18" s="144">
        <v>3747.41</v>
      </c>
      <c r="O18" s="144"/>
      <c r="P18" s="221">
        <f>K18*N18</f>
        <v>7494.82</v>
      </c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</row>
    <row r="19" spans="1:28" s="141" customFormat="1" ht="27" hidden="1" x14ac:dyDescent="0.25">
      <c r="A19" s="178">
        <v>8</v>
      </c>
      <c r="B19" s="173" t="s">
        <v>232</v>
      </c>
      <c r="C19" s="150">
        <v>2</v>
      </c>
      <c r="D19" s="151">
        <v>4684.4399999999996</v>
      </c>
      <c r="E19" s="151">
        <v>9368.8799999999992</v>
      </c>
      <c r="F19" s="368">
        <v>112426.56</v>
      </c>
      <c r="G19" s="369"/>
      <c r="H19" s="152"/>
      <c r="I19" s="219">
        <v>4</v>
      </c>
      <c r="J19" s="222">
        <v>2</v>
      </c>
      <c r="K19" s="220">
        <v>2</v>
      </c>
      <c r="L19" s="153">
        <f t="shared" si="0"/>
        <v>9368.8799999999992</v>
      </c>
      <c r="M19" s="144"/>
      <c r="N19" s="144">
        <v>4684.4399999999996</v>
      </c>
      <c r="O19" s="144"/>
      <c r="P19" s="221">
        <f>K19*N19</f>
        <v>9368.8799999999992</v>
      </c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</row>
    <row r="20" spans="1:28" s="141" customFormat="1" ht="27" hidden="1" x14ac:dyDescent="0.25">
      <c r="A20" s="178">
        <v>9</v>
      </c>
      <c r="B20" s="174" t="s">
        <v>235</v>
      </c>
      <c r="C20" s="150">
        <v>9</v>
      </c>
      <c r="D20" s="151">
        <v>8256.06</v>
      </c>
      <c r="E20" s="151">
        <v>74304.539999999994</v>
      </c>
      <c r="F20" s="368">
        <v>891654.48</v>
      </c>
      <c r="G20" s="369"/>
      <c r="H20" s="370" t="s">
        <v>219</v>
      </c>
      <c r="I20" s="219"/>
      <c r="J20" s="153"/>
      <c r="K20" s="153"/>
      <c r="L20" s="153"/>
      <c r="M20" s="144"/>
      <c r="N20" s="144"/>
      <c r="O20" s="144"/>
      <c r="P20" s="221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</row>
    <row r="21" spans="1:28" s="141" customFormat="1" ht="27" hidden="1" x14ac:dyDescent="0.25">
      <c r="A21" s="178">
        <v>10</v>
      </c>
      <c r="B21" s="174" t="s">
        <v>236</v>
      </c>
      <c r="C21" s="150">
        <v>11</v>
      </c>
      <c r="D21" s="151">
        <v>10130.040000000001</v>
      </c>
      <c r="E21" s="151">
        <v>111430.44</v>
      </c>
      <c r="F21" s="368">
        <v>1337165.28</v>
      </c>
      <c r="G21" s="369"/>
      <c r="H21" s="370"/>
      <c r="I21" s="219"/>
      <c r="J21" s="153"/>
      <c r="K21" s="153"/>
      <c r="L21" s="153"/>
      <c r="M21" s="144"/>
      <c r="N21" s="144"/>
      <c r="O21" s="144"/>
      <c r="P21" s="221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</row>
    <row r="22" spans="1:28" s="141" customFormat="1" ht="27" hidden="1" x14ac:dyDescent="0.25">
      <c r="A22" s="178">
        <v>11</v>
      </c>
      <c r="B22" s="174" t="s">
        <v>237</v>
      </c>
      <c r="C22" s="150">
        <v>8</v>
      </c>
      <c r="D22" s="151">
        <v>8288.2199999999993</v>
      </c>
      <c r="E22" s="151">
        <v>66305.759999999995</v>
      </c>
      <c r="F22" s="368">
        <v>795669.12</v>
      </c>
      <c r="G22" s="369"/>
      <c r="H22" s="370"/>
      <c r="I22" s="219">
        <v>4</v>
      </c>
      <c r="J22" s="222">
        <v>4</v>
      </c>
      <c r="K22" s="220">
        <v>2</v>
      </c>
      <c r="L22" s="153">
        <f>K22*D22</f>
        <v>16576.439999999999</v>
      </c>
      <c r="M22" s="144"/>
      <c r="N22" s="144"/>
      <c r="O22" s="144"/>
      <c r="P22" s="221">
        <v>16576.439999999999</v>
      </c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</row>
    <row r="23" spans="1:28" s="141" customFormat="1" ht="27" hidden="1" x14ac:dyDescent="0.25">
      <c r="A23" s="178">
        <v>12</v>
      </c>
      <c r="B23" s="174" t="s">
        <v>238</v>
      </c>
      <c r="C23" s="150">
        <v>8</v>
      </c>
      <c r="D23" s="151">
        <v>10162.200000000001</v>
      </c>
      <c r="E23" s="151">
        <v>81297.600000000006</v>
      </c>
      <c r="F23" s="368">
        <v>975571.2</v>
      </c>
      <c r="G23" s="369"/>
      <c r="H23" s="370"/>
      <c r="I23" s="219">
        <v>4</v>
      </c>
      <c r="J23" s="222">
        <v>4</v>
      </c>
      <c r="K23" s="220">
        <v>2</v>
      </c>
      <c r="L23" s="153">
        <f>K23*D23</f>
        <v>20324.400000000001</v>
      </c>
      <c r="M23" s="144"/>
      <c r="N23" s="144"/>
      <c r="O23" s="144"/>
      <c r="P23" s="221">
        <v>20324.400000000001</v>
      </c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</row>
    <row r="24" spans="1:28" s="141" customFormat="1" hidden="1" x14ac:dyDescent="0.25">
      <c r="A24" s="371"/>
      <c r="B24" s="372"/>
      <c r="C24" s="150">
        <f>SUM(C12:C23)</f>
        <v>66</v>
      </c>
      <c r="D24" s="373"/>
      <c r="E24" s="374"/>
      <c r="F24" s="374"/>
      <c r="G24" s="375"/>
      <c r="H24" s="152"/>
      <c r="I24" s="219">
        <f>SUM(I12:I23)</f>
        <v>67</v>
      </c>
      <c r="J24" s="222">
        <f>SUM(J12:J23)</f>
        <v>63</v>
      </c>
      <c r="K24" s="223">
        <f>SUM(K12:K23)</f>
        <v>34</v>
      </c>
      <c r="L24" s="153">
        <f>SUM(L12:L23)</f>
        <v>287532.04000000004</v>
      </c>
      <c r="M24" s="144"/>
      <c r="N24" s="144"/>
      <c r="O24" s="144"/>
      <c r="P24" s="221">
        <f>SUM(P12:P23)</f>
        <v>287532.04000000004</v>
      </c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</row>
    <row r="25" spans="1:28" s="141" customFormat="1" ht="13.5" hidden="1" customHeight="1" x14ac:dyDescent="0.25">
      <c r="A25" s="350" t="s">
        <v>54</v>
      </c>
      <c r="B25" s="351"/>
      <c r="C25" s="351"/>
      <c r="D25" s="351"/>
      <c r="E25" s="227">
        <v>583969.54</v>
      </c>
      <c r="F25" s="352">
        <v>7007634.4800000004</v>
      </c>
      <c r="G25" s="353"/>
      <c r="H25" s="154"/>
      <c r="I25" s="155"/>
      <c r="J25" s="190"/>
      <c r="K25" s="190"/>
      <c r="L25" s="190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</row>
    <row r="26" spans="1:28" s="141" customFormat="1" ht="21.75" hidden="1" customHeight="1" x14ac:dyDescent="0.25">
      <c r="A26" s="391" t="s">
        <v>317</v>
      </c>
      <c r="B26" s="392"/>
      <c r="C26" s="392"/>
      <c r="D26" s="392"/>
      <c r="E26" s="392"/>
      <c r="F26" s="392"/>
      <c r="G26" s="393"/>
      <c r="H26" s="238"/>
      <c r="I26" s="238"/>
      <c r="J26" s="239"/>
      <c r="K26" s="239"/>
      <c r="L26" s="239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</row>
    <row r="27" spans="1:28" s="141" customFormat="1" ht="28.5" hidden="1" customHeight="1" x14ac:dyDescent="0.25">
      <c r="A27" s="177" t="s">
        <v>42</v>
      </c>
      <c r="B27" s="240" t="s">
        <v>43</v>
      </c>
      <c r="C27" s="240" t="s">
        <v>144</v>
      </c>
      <c r="D27" s="240" t="s">
        <v>44</v>
      </c>
      <c r="E27" s="240" t="s">
        <v>45</v>
      </c>
      <c r="F27" s="379" t="s">
        <v>53</v>
      </c>
      <c r="G27" s="380"/>
      <c r="H27" s="148"/>
      <c r="I27" s="171"/>
      <c r="J27" s="239"/>
      <c r="K27" s="239"/>
      <c r="L27" s="239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</row>
    <row r="28" spans="1:28" s="141" customFormat="1" ht="27" hidden="1" x14ac:dyDescent="0.25">
      <c r="A28" s="178">
        <v>1</v>
      </c>
      <c r="B28" s="173" t="s">
        <v>225</v>
      </c>
      <c r="C28" s="150">
        <v>1</v>
      </c>
      <c r="D28" s="151">
        <v>4820.87</v>
      </c>
      <c r="E28" s="151">
        <v>4820.87</v>
      </c>
      <c r="F28" s="368">
        <v>57850.44</v>
      </c>
      <c r="G28" s="369"/>
      <c r="H28" s="152"/>
      <c r="I28" s="219">
        <v>1</v>
      </c>
      <c r="J28" s="219">
        <v>1</v>
      </c>
      <c r="K28" s="220">
        <v>1</v>
      </c>
      <c r="L28" s="153">
        <f>K28*D28</f>
        <v>4820.87</v>
      </c>
      <c r="M28" s="144"/>
      <c r="N28" s="144"/>
      <c r="O28" s="144"/>
      <c r="P28" s="221">
        <v>4659.7</v>
      </c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</row>
    <row r="29" spans="1:28" s="141" customFormat="1" ht="27" hidden="1" x14ac:dyDescent="0.25">
      <c r="A29" s="178">
        <v>2</v>
      </c>
      <c r="B29" s="173" t="s">
        <v>226</v>
      </c>
      <c r="C29" s="150">
        <v>6</v>
      </c>
      <c r="D29" s="151">
        <v>8545.56</v>
      </c>
      <c r="E29" s="151">
        <v>51273.36</v>
      </c>
      <c r="F29" s="368">
        <v>615280.31999999995</v>
      </c>
      <c r="G29" s="369"/>
      <c r="H29" s="152"/>
      <c r="I29" s="219">
        <f>C29*2</f>
        <v>12</v>
      </c>
      <c r="J29" s="219">
        <v>12</v>
      </c>
      <c r="K29" s="220">
        <v>6</v>
      </c>
      <c r="L29" s="153">
        <f t="shared" ref="L29:L35" si="1">K29*D29</f>
        <v>51273.36</v>
      </c>
      <c r="M29" s="144"/>
      <c r="N29" s="144"/>
      <c r="O29" s="144"/>
      <c r="P29" s="221">
        <v>49536.36</v>
      </c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</row>
    <row r="30" spans="1:28" s="141" customFormat="1" ht="27" hidden="1" x14ac:dyDescent="0.25">
      <c r="A30" s="178">
        <v>3</v>
      </c>
      <c r="B30" s="173" t="s">
        <v>227</v>
      </c>
      <c r="C30" s="150">
        <v>6</v>
      </c>
      <c r="D30" s="151">
        <v>10487.92</v>
      </c>
      <c r="E30" s="151">
        <v>62927.519999999997</v>
      </c>
      <c r="F30" s="368">
        <v>755130.24</v>
      </c>
      <c r="G30" s="369"/>
      <c r="H30" s="152"/>
      <c r="I30" s="219">
        <f>C30*2</f>
        <v>12</v>
      </c>
      <c r="J30" s="219">
        <v>12</v>
      </c>
      <c r="K30" s="220">
        <v>6</v>
      </c>
      <c r="L30" s="153">
        <f t="shared" si="1"/>
        <v>62927.520000000004</v>
      </c>
      <c r="M30" s="144"/>
      <c r="N30" s="144"/>
      <c r="O30" s="144"/>
      <c r="P30" s="221">
        <v>60780.240000000005</v>
      </c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</row>
    <row r="31" spans="1:28" s="141" customFormat="1" ht="27" hidden="1" x14ac:dyDescent="0.25">
      <c r="A31" s="178">
        <v>4</v>
      </c>
      <c r="B31" s="173" t="s">
        <v>228</v>
      </c>
      <c r="C31" s="150">
        <v>6</v>
      </c>
      <c r="D31" s="151">
        <v>8577.7199999999993</v>
      </c>
      <c r="E31" s="151">
        <v>51466.32</v>
      </c>
      <c r="F31" s="368">
        <v>617595.84</v>
      </c>
      <c r="G31" s="369"/>
      <c r="H31" s="152"/>
      <c r="I31" s="219">
        <f>C31*2</f>
        <v>12</v>
      </c>
      <c r="J31" s="219">
        <v>12</v>
      </c>
      <c r="K31" s="220">
        <v>6</v>
      </c>
      <c r="L31" s="153">
        <f t="shared" si="1"/>
        <v>51466.319999999992</v>
      </c>
      <c r="M31" s="144"/>
      <c r="N31" s="144"/>
      <c r="O31" s="144"/>
      <c r="P31" s="221">
        <v>49729.319999999992</v>
      </c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</row>
    <row r="32" spans="1:28" s="141" customFormat="1" ht="27" hidden="1" x14ac:dyDescent="0.25">
      <c r="A32" s="178">
        <v>5</v>
      </c>
      <c r="B32" s="173" t="s">
        <v>229</v>
      </c>
      <c r="C32" s="150">
        <v>6</v>
      </c>
      <c r="D32" s="151">
        <v>10520.04</v>
      </c>
      <c r="E32" s="151">
        <v>63120.24</v>
      </c>
      <c r="F32" s="368">
        <v>757442.88</v>
      </c>
      <c r="G32" s="369"/>
      <c r="H32" s="152"/>
      <c r="I32" s="219">
        <f>C32*2</f>
        <v>12</v>
      </c>
      <c r="J32" s="219">
        <v>12</v>
      </c>
      <c r="K32" s="220">
        <v>6</v>
      </c>
      <c r="L32" s="153">
        <f t="shared" si="1"/>
        <v>63120.240000000005</v>
      </c>
      <c r="M32" s="144"/>
      <c r="N32" s="144"/>
      <c r="O32" s="144"/>
      <c r="P32" s="221">
        <v>60973.200000000004</v>
      </c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</row>
    <row r="33" spans="1:28" s="141" customFormat="1" ht="27" hidden="1" x14ac:dyDescent="0.25">
      <c r="A33" s="178">
        <v>6</v>
      </c>
      <c r="B33" s="173" t="s">
        <v>230</v>
      </c>
      <c r="C33" s="150">
        <v>1</v>
      </c>
      <c r="D33" s="151">
        <v>8373.48</v>
      </c>
      <c r="E33" s="151">
        <v>8373.48</v>
      </c>
      <c r="F33" s="368">
        <v>100481.76</v>
      </c>
      <c r="G33" s="369"/>
      <c r="H33" s="152"/>
      <c r="I33" s="219">
        <f>C33*2</f>
        <v>2</v>
      </c>
      <c r="J33" s="219">
        <v>2</v>
      </c>
      <c r="K33" s="220">
        <v>1</v>
      </c>
      <c r="L33" s="153">
        <f t="shared" si="1"/>
        <v>8373.48</v>
      </c>
      <c r="M33" s="144"/>
      <c r="N33" s="144"/>
      <c r="O33" s="144"/>
      <c r="P33" s="221">
        <v>8088.68</v>
      </c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</row>
    <row r="34" spans="1:28" s="141" customFormat="1" ht="27" hidden="1" x14ac:dyDescent="0.25">
      <c r="A34" s="178">
        <v>7</v>
      </c>
      <c r="B34" s="173" t="s">
        <v>231</v>
      </c>
      <c r="C34" s="150">
        <v>2</v>
      </c>
      <c r="D34" s="151">
        <v>3872.13</v>
      </c>
      <c r="E34" s="151">
        <v>7744.26</v>
      </c>
      <c r="F34" s="368">
        <v>92931.12</v>
      </c>
      <c r="G34" s="369"/>
      <c r="H34" s="152"/>
      <c r="I34" s="219">
        <v>4</v>
      </c>
      <c r="J34" s="222">
        <v>2</v>
      </c>
      <c r="K34" s="220">
        <v>2</v>
      </c>
      <c r="L34" s="153">
        <f t="shared" si="1"/>
        <v>7744.26</v>
      </c>
      <c r="M34" s="144"/>
      <c r="N34" s="144">
        <v>3747.41</v>
      </c>
      <c r="O34" s="144"/>
      <c r="P34" s="221">
        <f>K34*N34</f>
        <v>7494.82</v>
      </c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</row>
    <row r="35" spans="1:28" s="141" customFormat="1" ht="27" hidden="1" x14ac:dyDescent="0.25">
      <c r="A35" s="178">
        <v>8</v>
      </c>
      <c r="B35" s="173" t="s">
        <v>232</v>
      </c>
      <c r="C35" s="150">
        <v>2</v>
      </c>
      <c r="D35" s="151">
        <v>4843.34</v>
      </c>
      <c r="E35" s="151">
        <v>9686.68</v>
      </c>
      <c r="F35" s="368">
        <v>116240.16</v>
      </c>
      <c r="G35" s="369"/>
      <c r="H35" s="152"/>
      <c r="I35" s="219">
        <v>4</v>
      </c>
      <c r="J35" s="222">
        <v>2</v>
      </c>
      <c r="K35" s="220">
        <v>2</v>
      </c>
      <c r="L35" s="153">
        <f t="shared" si="1"/>
        <v>9686.68</v>
      </c>
      <c r="M35" s="144"/>
      <c r="N35" s="144">
        <v>4684.4399999999996</v>
      </c>
      <c r="O35" s="144"/>
      <c r="P35" s="221">
        <f>K35*N35</f>
        <v>9368.8799999999992</v>
      </c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</row>
    <row r="36" spans="1:28" s="141" customFormat="1" ht="27" hidden="1" x14ac:dyDescent="0.25">
      <c r="A36" s="178">
        <v>9</v>
      </c>
      <c r="B36" s="174" t="s">
        <v>235</v>
      </c>
      <c r="C36" s="150">
        <v>9</v>
      </c>
      <c r="D36" s="151">
        <v>8545.56</v>
      </c>
      <c r="E36" s="151">
        <v>76910.039999999994</v>
      </c>
      <c r="F36" s="368">
        <v>922920.48</v>
      </c>
      <c r="G36" s="369"/>
      <c r="H36" s="370" t="s">
        <v>219</v>
      </c>
      <c r="I36" s="219"/>
      <c r="J36" s="153"/>
      <c r="K36" s="153"/>
      <c r="L36" s="153"/>
      <c r="M36" s="144"/>
      <c r="N36" s="144"/>
      <c r="O36" s="144"/>
      <c r="P36" s="221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</row>
    <row r="37" spans="1:28" s="141" customFormat="1" ht="27" hidden="1" x14ac:dyDescent="0.25">
      <c r="A37" s="178">
        <v>10</v>
      </c>
      <c r="B37" s="174" t="s">
        <v>236</v>
      </c>
      <c r="C37" s="150">
        <v>11</v>
      </c>
      <c r="D37" s="151">
        <v>10487.92</v>
      </c>
      <c r="E37" s="151">
        <v>115367.12</v>
      </c>
      <c r="F37" s="368">
        <v>1384405.44</v>
      </c>
      <c r="G37" s="369"/>
      <c r="H37" s="370"/>
      <c r="I37" s="219"/>
      <c r="J37" s="153"/>
      <c r="K37" s="153"/>
      <c r="L37" s="153"/>
      <c r="M37" s="144"/>
      <c r="N37" s="144"/>
      <c r="O37" s="144"/>
      <c r="P37" s="221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</row>
    <row r="38" spans="1:28" s="141" customFormat="1" ht="27" hidden="1" x14ac:dyDescent="0.25">
      <c r="A38" s="178">
        <v>11</v>
      </c>
      <c r="B38" s="174" t="s">
        <v>237</v>
      </c>
      <c r="C38" s="150">
        <v>8</v>
      </c>
      <c r="D38" s="151">
        <v>8577.7199999999993</v>
      </c>
      <c r="E38" s="151">
        <v>68621.759999999995</v>
      </c>
      <c r="F38" s="368">
        <v>823461.12</v>
      </c>
      <c r="G38" s="369"/>
      <c r="H38" s="370"/>
      <c r="I38" s="219">
        <v>4</v>
      </c>
      <c r="J38" s="222">
        <v>4</v>
      </c>
      <c r="K38" s="220">
        <v>2</v>
      </c>
      <c r="L38" s="153">
        <f>K38*D38</f>
        <v>17155.439999999999</v>
      </c>
      <c r="M38" s="144"/>
      <c r="N38" s="144"/>
      <c r="O38" s="144"/>
      <c r="P38" s="221">
        <v>16576.439999999999</v>
      </c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</row>
    <row r="39" spans="1:28" s="141" customFormat="1" ht="27" hidden="1" x14ac:dyDescent="0.25">
      <c r="A39" s="178">
        <v>12</v>
      </c>
      <c r="B39" s="174" t="s">
        <v>238</v>
      </c>
      <c r="C39" s="150">
        <v>8</v>
      </c>
      <c r="D39" s="151">
        <v>10520.04</v>
      </c>
      <c r="E39" s="151">
        <v>84160.320000000007</v>
      </c>
      <c r="F39" s="368">
        <v>1009923.84</v>
      </c>
      <c r="G39" s="369"/>
      <c r="H39" s="370"/>
      <c r="I39" s="219">
        <v>4</v>
      </c>
      <c r="J39" s="222">
        <v>4</v>
      </c>
      <c r="K39" s="220">
        <v>2</v>
      </c>
      <c r="L39" s="153">
        <f>K39*D39</f>
        <v>21040.080000000002</v>
      </c>
      <c r="M39" s="144"/>
      <c r="N39" s="144"/>
      <c r="O39" s="144"/>
      <c r="P39" s="221">
        <v>20324.400000000001</v>
      </c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</row>
    <row r="40" spans="1:28" s="141" customFormat="1" hidden="1" x14ac:dyDescent="0.25">
      <c r="A40" s="371"/>
      <c r="B40" s="372"/>
      <c r="C40" s="150">
        <v>66</v>
      </c>
      <c r="D40" s="373"/>
      <c r="E40" s="374"/>
      <c r="F40" s="374"/>
      <c r="G40" s="375"/>
      <c r="H40" s="152"/>
      <c r="I40" s="219">
        <f>SUM(I28:I39)</f>
        <v>67</v>
      </c>
      <c r="J40" s="222">
        <f>SUM(J28:J39)</f>
        <v>63</v>
      </c>
      <c r="K40" s="223">
        <f>SUM(K28:K39)</f>
        <v>34</v>
      </c>
      <c r="L40" s="153">
        <f>SUM(L28:L39)</f>
        <v>297608.25</v>
      </c>
      <c r="M40" s="144"/>
      <c r="N40" s="144"/>
      <c r="O40" s="144"/>
      <c r="P40" s="221">
        <f>SUM(P28:P39)</f>
        <v>287532.04000000004</v>
      </c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</row>
    <row r="41" spans="1:28" s="141" customFormat="1" ht="13.5" hidden="1" customHeight="1" x14ac:dyDescent="0.25">
      <c r="A41" s="350" t="s">
        <v>54</v>
      </c>
      <c r="B41" s="351"/>
      <c r="C41" s="351"/>
      <c r="D41" s="351"/>
      <c r="E41" s="237">
        <v>604471.97</v>
      </c>
      <c r="F41" s="352">
        <v>7253663.6399999997</v>
      </c>
      <c r="G41" s="353"/>
      <c r="H41" s="154"/>
      <c r="I41" s="155"/>
      <c r="J41" s="190"/>
      <c r="K41" s="190"/>
      <c r="L41" s="190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</row>
    <row r="42" spans="1:28" s="141" customFormat="1" ht="21.75" customHeight="1" x14ac:dyDescent="0.25">
      <c r="A42" s="433" t="s">
        <v>262</v>
      </c>
      <c r="B42" s="434"/>
      <c r="C42" s="434"/>
      <c r="D42" s="434"/>
      <c r="E42" s="434"/>
      <c r="F42" s="434"/>
      <c r="G42" s="435"/>
      <c r="H42" s="145"/>
      <c r="I42" s="145"/>
      <c r="J42" s="432"/>
      <c r="K42" s="432"/>
      <c r="L42" s="432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</row>
    <row r="43" spans="1:28" s="141" customFormat="1" ht="21.75" hidden="1" customHeight="1" x14ac:dyDescent="0.25">
      <c r="A43" s="391" t="s">
        <v>318</v>
      </c>
      <c r="B43" s="392"/>
      <c r="C43" s="392"/>
      <c r="D43" s="392"/>
      <c r="E43" s="392"/>
      <c r="F43" s="392"/>
      <c r="G43" s="393"/>
      <c r="H43" s="245"/>
      <c r="I43" s="245"/>
      <c r="J43" s="246"/>
      <c r="K43" s="246"/>
      <c r="L43" s="246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</row>
    <row r="44" spans="1:28" s="141" customFormat="1" ht="28.5" hidden="1" customHeight="1" x14ac:dyDescent="0.25">
      <c r="A44" s="177" t="s">
        <v>42</v>
      </c>
      <c r="B44" s="247" t="s">
        <v>43</v>
      </c>
      <c r="C44" s="247" t="s">
        <v>144</v>
      </c>
      <c r="D44" s="247" t="s">
        <v>44</v>
      </c>
      <c r="E44" s="247" t="s">
        <v>45</v>
      </c>
      <c r="F44" s="379" t="s">
        <v>53</v>
      </c>
      <c r="G44" s="380"/>
      <c r="H44" s="148"/>
      <c r="I44" s="171"/>
      <c r="J44" s="246"/>
      <c r="K44" s="246"/>
      <c r="L44" s="246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</row>
    <row r="45" spans="1:28" s="141" customFormat="1" ht="27" hidden="1" x14ac:dyDescent="0.25">
      <c r="A45" s="178">
        <v>1</v>
      </c>
      <c r="B45" s="173" t="s">
        <v>225</v>
      </c>
      <c r="C45" s="150">
        <v>1</v>
      </c>
      <c r="D45" s="151">
        <v>4843.2700000000004</v>
      </c>
      <c r="E45" s="151">
        <v>4843.2700000000004</v>
      </c>
      <c r="F45" s="368">
        <v>58119.24</v>
      </c>
      <c r="G45" s="369"/>
      <c r="H45" s="152"/>
      <c r="I45" s="219">
        <v>1</v>
      </c>
      <c r="J45" s="219">
        <v>1</v>
      </c>
      <c r="K45" s="220">
        <v>1</v>
      </c>
      <c r="L45" s="153">
        <f>K45*D45</f>
        <v>4843.2700000000004</v>
      </c>
      <c r="M45" s="144"/>
      <c r="N45" s="144"/>
      <c r="O45" s="144"/>
      <c r="P45" s="221">
        <v>4659.7</v>
      </c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</row>
    <row r="46" spans="1:28" s="141" customFormat="1" ht="27" hidden="1" x14ac:dyDescent="0.25">
      <c r="A46" s="178">
        <v>2</v>
      </c>
      <c r="B46" s="173" t="s">
        <v>226</v>
      </c>
      <c r="C46" s="150">
        <v>6</v>
      </c>
      <c r="D46" s="151">
        <v>8572.18</v>
      </c>
      <c r="E46" s="151">
        <v>51433.08</v>
      </c>
      <c r="F46" s="368">
        <v>617196.96</v>
      </c>
      <c r="G46" s="369"/>
      <c r="H46" s="152"/>
      <c r="I46" s="219">
        <f>C46*2</f>
        <v>12</v>
      </c>
      <c r="J46" s="219">
        <v>12</v>
      </c>
      <c r="K46" s="220">
        <v>6</v>
      </c>
      <c r="L46" s="153">
        <f t="shared" ref="L46:L52" si="2">K46*D46</f>
        <v>51433.08</v>
      </c>
      <c r="M46" s="144"/>
      <c r="N46" s="144"/>
      <c r="O46" s="144"/>
      <c r="P46" s="221">
        <v>49536.36</v>
      </c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</row>
    <row r="47" spans="1:28" s="141" customFormat="1" ht="27" hidden="1" x14ac:dyDescent="0.25">
      <c r="A47" s="178">
        <v>3</v>
      </c>
      <c r="B47" s="173" t="s">
        <v>227</v>
      </c>
      <c r="C47" s="150">
        <v>6</v>
      </c>
      <c r="D47" s="151">
        <v>10514.52</v>
      </c>
      <c r="E47" s="151">
        <v>63087.12</v>
      </c>
      <c r="F47" s="368">
        <v>757045.44</v>
      </c>
      <c r="G47" s="369"/>
      <c r="H47" s="152"/>
      <c r="I47" s="219">
        <f>C47*2</f>
        <v>12</v>
      </c>
      <c r="J47" s="219">
        <v>12</v>
      </c>
      <c r="K47" s="220">
        <v>6</v>
      </c>
      <c r="L47" s="153">
        <f t="shared" si="2"/>
        <v>63087.12</v>
      </c>
      <c r="M47" s="144"/>
      <c r="N47" s="144"/>
      <c r="O47" s="144"/>
      <c r="P47" s="221">
        <v>60780.240000000005</v>
      </c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</row>
    <row r="48" spans="1:28" s="141" customFormat="1" ht="27" hidden="1" x14ac:dyDescent="0.25">
      <c r="A48" s="178">
        <v>4</v>
      </c>
      <c r="B48" s="173" t="s">
        <v>228</v>
      </c>
      <c r="C48" s="150">
        <v>6</v>
      </c>
      <c r="D48" s="151">
        <v>8604.2999999999993</v>
      </c>
      <c r="E48" s="151">
        <v>51625.8</v>
      </c>
      <c r="F48" s="368">
        <v>619509.6</v>
      </c>
      <c r="G48" s="369"/>
      <c r="H48" s="152"/>
      <c r="I48" s="219">
        <f>C48*2</f>
        <v>12</v>
      </c>
      <c r="J48" s="219">
        <v>12</v>
      </c>
      <c r="K48" s="220">
        <v>6</v>
      </c>
      <c r="L48" s="153">
        <f t="shared" si="2"/>
        <v>51625.799999999996</v>
      </c>
      <c r="M48" s="144"/>
      <c r="N48" s="144"/>
      <c r="O48" s="144"/>
      <c r="P48" s="221">
        <v>49729.319999999992</v>
      </c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</row>
    <row r="49" spans="1:28" s="141" customFormat="1" ht="27" hidden="1" x14ac:dyDescent="0.25">
      <c r="A49" s="178">
        <v>5</v>
      </c>
      <c r="B49" s="173" t="s">
        <v>229</v>
      </c>
      <c r="C49" s="150">
        <v>6</v>
      </c>
      <c r="D49" s="151">
        <v>10546.66</v>
      </c>
      <c r="E49" s="151">
        <v>63279.96</v>
      </c>
      <c r="F49" s="368">
        <v>759359.52</v>
      </c>
      <c r="G49" s="369"/>
      <c r="H49" s="152"/>
      <c r="I49" s="219">
        <f>C49*2</f>
        <v>12</v>
      </c>
      <c r="J49" s="219">
        <v>12</v>
      </c>
      <c r="K49" s="220">
        <v>6</v>
      </c>
      <c r="L49" s="153">
        <f t="shared" si="2"/>
        <v>63279.96</v>
      </c>
      <c r="M49" s="144"/>
      <c r="N49" s="144"/>
      <c r="O49" s="144"/>
      <c r="P49" s="221">
        <v>60973.200000000004</v>
      </c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</row>
    <row r="50" spans="1:28" s="141" customFormat="1" ht="27" hidden="1" x14ac:dyDescent="0.25">
      <c r="A50" s="178">
        <v>6</v>
      </c>
      <c r="B50" s="173" t="s">
        <v>230</v>
      </c>
      <c r="C50" s="150">
        <v>1</v>
      </c>
      <c r="D50" s="151">
        <v>8395.7000000000007</v>
      </c>
      <c r="E50" s="151">
        <v>8395.7000000000007</v>
      </c>
      <c r="F50" s="368">
        <v>100748.4</v>
      </c>
      <c r="G50" s="369"/>
      <c r="H50" s="152"/>
      <c r="I50" s="219">
        <f>C50*2</f>
        <v>2</v>
      </c>
      <c r="J50" s="219">
        <v>2</v>
      </c>
      <c r="K50" s="220">
        <v>1</v>
      </c>
      <c r="L50" s="153">
        <f t="shared" si="2"/>
        <v>8395.7000000000007</v>
      </c>
      <c r="M50" s="144"/>
      <c r="N50" s="144"/>
      <c r="O50" s="144"/>
      <c r="P50" s="221">
        <v>8088.68</v>
      </c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</row>
    <row r="51" spans="1:28" s="141" customFormat="1" ht="27" hidden="1" x14ac:dyDescent="0.25">
      <c r="A51" s="178">
        <v>7</v>
      </c>
      <c r="B51" s="173" t="s">
        <v>231</v>
      </c>
      <c r="C51" s="150">
        <v>2</v>
      </c>
      <c r="D51" s="151">
        <v>3898.74</v>
      </c>
      <c r="E51" s="151">
        <v>7797.48</v>
      </c>
      <c r="F51" s="368">
        <v>93569.76</v>
      </c>
      <c r="G51" s="369"/>
      <c r="H51" s="152"/>
      <c r="I51" s="219">
        <v>4</v>
      </c>
      <c r="J51" s="222">
        <v>2</v>
      </c>
      <c r="K51" s="220">
        <v>2</v>
      </c>
      <c r="L51" s="153">
        <f t="shared" si="2"/>
        <v>7797.48</v>
      </c>
      <c r="M51" s="144"/>
      <c r="N51" s="144">
        <v>3747.41</v>
      </c>
      <c r="O51" s="144"/>
      <c r="P51" s="221">
        <f>K51*N51</f>
        <v>7494.82</v>
      </c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</row>
    <row r="52" spans="1:28" s="141" customFormat="1" ht="27" hidden="1" x14ac:dyDescent="0.25">
      <c r="A52" s="178">
        <v>8</v>
      </c>
      <c r="B52" s="173" t="s">
        <v>232</v>
      </c>
      <c r="C52" s="150">
        <v>2</v>
      </c>
      <c r="D52" s="151">
        <v>4869.95</v>
      </c>
      <c r="E52" s="151">
        <v>9739.9</v>
      </c>
      <c r="F52" s="368">
        <v>116878.8</v>
      </c>
      <c r="G52" s="369"/>
      <c r="H52" s="152"/>
      <c r="I52" s="219">
        <v>4</v>
      </c>
      <c r="J52" s="222">
        <v>2</v>
      </c>
      <c r="K52" s="220">
        <v>2</v>
      </c>
      <c r="L52" s="153">
        <f t="shared" si="2"/>
        <v>9739.9</v>
      </c>
      <c r="M52" s="144"/>
      <c r="N52" s="144">
        <v>4684.4399999999996</v>
      </c>
      <c r="O52" s="144"/>
      <c r="P52" s="221">
        <f>K52*N52</f>
        <v>9368.8799999999992</v>
      </c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</row>
    <row r="53" spans="1:28" s="141" customFormat="1" ht="27" hidden="1" x14ac:dyDescent="0.25">
      <c r="A53" s="178">
        <v>9</v>
      </c>
      <c r="B53" s="174" t="s">
        <v>235</v>
      </c>
      <c r="C53" s="150">
        <v>9</v>
      </c>
      <c r="D53" s="151">
        <v>8572.18</v>
      </c>
      <c r="E53" s="151">
        <v>77149.62</v>
      </c>
      <c r="F53" s="368">
        <v>925795.44</v>
      </c>
      <c r="G53" s="369"/>
      <c r="H53" s="370" t="s">
        <v>219</v>
      </c>
      <c r="I53" s="219"/>
      <c r="J53" s="153"/>
      <c r="K53" s="153"/>
      <c r="L53" s="153"/>
      <c r="M53" s="144"/>
      <c r="N53" s="144"/>
      <c r="O53" s="144"/>
      <c r="P53" s="221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</row>
    <row r="54" spans="1:28" s="141" customFormat="1" ht="27" hidden="1" x14ac:dyDescent="0.25">
      <c r="A54" s="178">
        <v>10</v>
      </c>
      <c r="B54" s="174" t="s">
        <v>236</v>
      </c>
      <c r="C54" s="150">
        <v>11</v>
      </c>
      <c r="D54" s="151">
        <v>10514.52</v>
      </c>
      <c r="E54" s="151">
        <v>115659.72</v>
      </c>
      <c r="F54" s="368">
        <v>1387916.64</v>
      </c>
      <c r="G54" s="369"/>
      <c r="H54" s="370"/>
      <c r="I54" s="219"/>
      <c r="J54" s="153"/>
      <c r="K54" s="153"/>
      <c r="L54" s="153"/>
      <c r="M54" s="144"/>
      <c r="N54" s="144"/>
      <c r="O54" s="144"/>
      <c r="P54" s="221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</row>
    <row r="55" spans="1:28" s="141" customFormat="1" ht="27" hidden="1" x14ac:dyDescent="0.25">
      <c r="A55" s="178">
        <v>11</v>
      </c>
      <c r="B55" s="174" t="s">
        <v>237</v>
      </c>
      <c r="C55" s="150">
        <v>8</v>
      </c>
      <c r="D55" s="151">
        <v>8604.2999999999993</v>
      </c>
      <c r="E55" s="151">
        <v>68834.399999999994</v>
      </c>
      <c r="F55" s="368">
        <v>826012.8</v>
      </c>
      <c r="G55" s="369"/>
      <c r="H55" s="370"/>
      <c r="I55" s="219">
        <v>4</v>
      </c>
      <c r="J55" s="222">
        <v>4</v>
      </c>
      <c r="K55" s="220">
        <v>2</v>
      </c>
      <c r="L55" s="153">
        <f>K55*D55</f>
        <v>17208.599999999999</v>
      </c>
      <c r="M55" s="144"/>
      <c r="N55" s="144"/>
      <c r="O55" s="144"/>
      <c r="P55" s="221">
        <v>16576.439999999999</v>
      </c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</row>
    <row r="56" spans="1:28" s="141" customFormat="1" ht="27" hidden="1" x14ac:dyDescent="0.25">
      <c r="A56" s="178">
        <v>12</v>
      </c>
      <c r="B56" s="174" t="s">
        <v>238</v>
      </c>
      <c r="C56" s="150">
        <v>8</v>
      </c>
      <c r="D56" s="151">
        <v>10546.66</v>
      </c>
      <c r="E56" s="151">
        <v>84373.28</v>
      </c>
      <c r="F56" s="368">
        <v>1012479.36</v>
      </c>
      <c r="G56" s="369"/>
      <c r="H56" s="370"/>
      <c r="I56" s="219">
        <v>4</v>
      </c>
      <c r="J56" s="222">
        <v>4</v>
      </c>
      <c r="K56" s="220">
        <v>2</v>
      </c>
      <c r="L56" s="153">
        <f>K56*D56</f>
        <v>21093.32</v>
      </c>
      <c r="M56" s="144"/>
      <c r="N56" s="144"/>
      <c r="O56" s="144"/>
      <c r="P56" s="221">
        <v>20324.400000000001</v>
      </c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</row>
    <row r="57" spans="1:28" s="141" customFormat="1" hidden="1" x14ac:dyDescent="0.25">
      <c r="A57" s="371"/>
      <c r="B57" s="372"/>
      <c r="C57" s="150">
        <f>SUM(C45:C56)</f>
        <v>66</v>
      </c>
      <c r="D57" s="373"/>
      <c r="E57" s="374"/>
      <c r="F57" s="374"/>
      <c r="G57" s="375"/>
      <c r="H57" s="152"/>
      <c r="I57" s="219">
        <f>SUM(I45:I56)</f>
        <v>67</v>
      </c>
      <c r="J57" s="222">
        <f>SUM(J45:J56)</f>
        <v>63</v>
      </c>
      <c r="K57" s="223">
        <f>SUM(K45:K56)</f>
        <v>34</v>
      </c>
      <c r="L57" s="153">
        <f>SUM(L45:L56)</f>
        <v>298504.23</v>
      </c>
      <c r="M57" s="144"/>
      <c r="N57" s="144"/>
      <c r="O57" s="144"/>
      <c r="P57" s="221">
        <f>SUM(P45:P56)</f>
        <v>287532.04000000004</v>
      </c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</row>
    <row r="58" spans="1:28" s="141" customFormat="1" ht="13.5" hidden="1" customHeight="1" x14ac:dyDescent="0.25">
      <c r="A58" s="350" t="s">
        <v>54</v>
      </c>
      <c r="B58" s="351"/>
      <c r="C58" s="351"/>
      <c r="D58" s="351"/>
      <c r="E58" s="244">
        <f>ROUND(SUM(E45:E56),2)</f>
        <v>606219.32999999996</v>
      </c>
      <c r="F58" s="352">
        <f>ROUND(SUM(F45:G56),2)</f>
        <v>7274631.96</v>
      </c>
      <c r="G58" s="353"/>
      <c r="H58" s="154"/>
      <c r="I58" s="155"/>
      <c r="J58" s="190"/>
      <c r="K58" s="190"/>
      <c r="L58" s="190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</row>
    <row r="59" spans="1:28" s="141" customFormat="1" ht="13.5" hidden="1" customHeight="1" x14ac:dyDescent="0.25">
      <c r="A59" s="354" t="s">
        <v>303</v>
      </c>
      <c r="B59" s="355"/>
      <c r="C59" s="355"/>
      <c r="D59" s="355"/>
      <c r="E59" s="355"/>
      <c r="F59" s="355"/>
      <c r="G59" s="356"/>
      <c r="H59" s="154"/>
      <c r="I59" s="155"/>
      <c r="J59" s="190"/>
      <c r="K59" s="190"/>
      <c r="L59" s="190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</row>
    <row r="60" spans="1:28" s="141" customFormat="1" ht="21.75" hidden="1" customHeight="1" x14ac:dyDescent="0.25">
      <c r="A60" s="383" t="s">
        <v>263</v>
      </c>
      <c r="B60" s="384"/>
      <c r="C60" s="384"/>
      <c r="D60" s="384"/>
      <c r="E60" s="384"/>
      <c r="F60" s="384"/>
      <c r="G60" s="385"/>
      <c r="H60" s="154"/>
      <c r="I60" s="155"/>
      <c r="J60" s="190"/>
      <c r="K60" s="190"/>
      <c r="L60" s="190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</row>
    <row r="61" spans="1:28" s="141" customFormat="1" ht="13.5" hidden="1" customHeight="1" x14ac:dyDescent="0.25">
      <c r="A61" s="350" t="s">
        <v>264</v>
      </c>
      <c r="B61" s="351"/>
      <c r="C61" s="351"/>
      <c r="D61" s="351"/>
      <c r="E61" s="351"/>
      <c r="F61" s="351"/>
      <c r="G61" s="357"/>
      <c r="H61" s="154"/>
      <c r="I61" s="155"/>
      <c r="J61" s="190"/>
      <c r="K61" s="190"/>
      <c r="L61" s="190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</row>
    <row r="62" spans="1:28" s="141" customFormat="1" ht="13.5" hidden="1" customHeight="1" x14ac:dyDescent="0.25">
      <c r="A62" s="358" t="s">
        <v>265</v>
      </c>
      <c r="B62" s="359"/>
      <c r="C62" s="359"/>
      <c r="D62" s="359"/>
      <c r="E62" s="360">
        <f>E58</f>
        <v>606219.32999999996</v>
      </c>
      <c r="F62" s="360"/>
      <c r="G62" s="361"/>
      <c r="H62" s="154"/>
      <c r="I62" s="155"/>
      <c r="J62" s="190"/>
      <c r="K62" s="190"/>
      <c r="L62" s="190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</row>
    <row r="63" spans="1:28" s="141" customFormat="1" ht="13.5" hidden="1" customHeight="1" x14ac:dyDescent="0.25">
      <c r="A63" s="358" t="s">
        <v>266</v>
      </c>
      <c r="B63" s="359"/>
      <c r="C63" s="359"/>
      <c r="D63" s="359"/>
      <c r="E63" s="362">
        <v>12</v>
      </c>
      <c r="F63" s="362"/>
      <c r="G63" s="363"/>
      <c r="H63" s="154"/>
      <c r="I63" s="155"/>
      <c r="J63" s="190"/>
      <c r="K63" s="190"/>
      <c r="L63" s="190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</row>
    <row r="64" spans="1:28" s="141" customFormat="1" ht="13.5" hidden="1" customHeight="1" x14ac:dyDescent="0.25">
      <c r="A64" s="364" t="s">
        <v>267</v>
      </c>
      <c r="B64" s="365"/>
      <c r="C64" s="365"/>
      <c r="D64" s="365"/>
      <c r="E64" s="366">
        <f>ROUND(E62*E63,2)</f>
        <v>7274631.96</v>
      </c>
      <c r="F64" s="366"/>
      <c r="G64" s="367"/>
      <c r="H64" s="154"/>
      <c r="I64" s="155"/>
      <c r="J64" s="190"/>
      <c r="K64" s="190"/>
      <c r="L64" s="190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</row>
    <row r="65" spans="1:28" s="141" customFormat="1" ht="21.75" hidden="1" customHeight="1" x14ac:dyDescent="0.25">
      <c r="A65" s="248"/>
      <c r="B65" s="249"/>
      <c r="C65" s="249"/>
      <c r="D65" s="249"/>
      <c r="E65" s="249"/>
      <c r="F65" s="249"/>
      <c r="G65" s="250"/>
      <c r="H65" s="245"/>
      <c r="I65" s="245"/>
      <c r="J65" s="246"/>
      <c r="K65" s="246"/>
      <c r="L65" s="246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</row>
    <row r="66" spans="1:28" s="141" customFormat="1" ht="21.75" hidden="1" customHeight="1" x14ac:dyDescent="0.25">
      <c r="A66" s="391" t="s">
        <v>320</v>
      </c>
      <c r="B66" s="392"/>
      <c r="C66" s="392"/>
      <c r="D66" s="392"/>
      <c r="E66" s="392"/>
      <c r="F66" s="392"/>
      <c r="G66" s="393"/>
      <c r="H66" s="261"/>
      <c r="I66" s="261"/>
      <c r="J66" s="260"/>
      <c r="K66" s="260"/>
      <c r="L66" s="260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</row>
    <row r="67" spans="1:28" s="141" customFormat="1" ht="28.5" hidden="1" customHeight="1" x14ac:dyDescent="0.25">
      <c r="A67" s="177" t="s">
        <v>42</v>
      </c>
      <c r="B67" s="259" t="s">
        <v>43</v>
      </c>
      <c r="C67" s="259" t="s">
        <v>144</v>
      </c>
      <c r="D67" s="259" t="s">
        <v>44</v>
      </c>
      <c r="E67" s="259" t="s">
        <v>45</v>
      </c>
      <c r="F67" s="379" t="s">
        <v>53</v>
      </c>
      <c r="G67" s="380"/>
      <c r="H67" s="148"/>
      <c r="I67" s="171"/>
      <c r="J67" s="260"/>
      <c r="K67" s="260"/>
      <c r="L67" s="260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</row>
    <row r="68" spans="1:28" s="141" customFormat="1" ht="27" hidden="1" x14ac:dyDescent="0.25">
      <c r="A68" s="178">
        <v>1</v>
      </c>
      <c r="B68" s="173" t="s">
        <v>225</v>
      </c>
      <c r="C68" s="150">
        <v>1</v>
      </c>
      <c r="D68" s="151">
        <v>4819.72</v>
      </c>
      <c r="E68" s="151">
        <v>4819.72</v>
      </c>
      <c r="F68" s="368">
        <v>57836.639999999999</v>
      </c>
      <c r="G68" s="369"/>
      <c r="H68" s="152"/>
      <c r="I68" s="219">
        <v>1</v>
      </c>
      <c r="J68" s="219">
        <v>1</v>
      </c>
      <c r="K68" s="220">
        <v>1</v>
      </c>
      <c r="L68" s="153">
        <v>4819.72</v>
      </c>
      <c r="M68" s="144"/>
      <c r="N68" s="144"/>
      <c r="O68" s="144"/>
      <c r="P68" s="221">
        <v>4659.7</v>
      </c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</row>
    <row r="69" spans="1:28" s="141" customFormat="1" ht="27" hidden="1" x14ac:dyDescent="0.25">
      <c r="A69" s="178">
        <v>2</v>
      </c>
      <c r="B69" s="173" t="s">
        <v>226</v>
      </c>
      <c r="C69" s="150">
        <v>6</v>
      </c>
      <c r="D69" s="151">
        <v>8528.92</v>
      </c>
      <c r="E69" s="257">
        <v>51173.520000000004</v>
      </c>
      <c r="F69" s="368">
        <v>614082.24</v>
      </c>
      <c r="G69" s="369"/>
      <c r="H69" s="152"/>
      <c r="I69" s="219">
        <v>12</v>
      </c>
      <c r="J69" s="219">
        <v>12</v>
      </c>
      <c r="K69" s="220">
        <v>6</v>
      </c>
      <c r="L69" s="153">
        <v>51173.520000000004</v>
      </c>
      <c r="M69" s="144"/>
      <c r="N69" s="144"/>
      <c r="O69" s="144"/>
      <c r="P69" s="221">
        <v>49536.36</v>
      </c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</row>
    <row r="70" spans="1:28" s="141" customFormat="1" ht="27" hidden="1" x14ac:dyDescent="0.25">
      <c r="A70" s="178">
        <v>3</v>
      </c>
      <c r="B70" s="173" t="s">
        <v>227</v>
      </c>
      <c r="C70" s="150">
        <v>6</v>
      </c>
      <c r="D70" s="151">
        <v>10460.24</v>
      </c>
      <c r="E70" s="151">
        <v>62761.440000000002</v>
      </c>
      <c r="F70" s="368">
        <v>753137.28</v>
      </c>
      <c r="G70" s="369"/>
      <c r="H70" s="152"/>
      <c r="I70" s="219">
        <v>12</v>
      </c>
      <c r="J70" s="219">
        <v>12</v>
      </c>
      <c r="K70" s="220">
        <v>6</v>
      </c>
      <c r="L70" s="153">
        <v>62761.440000000002</v>
      </c>
      <c r="M70" s="144"/>
      <c r="N70" s="144"/>
      <c r="O70" s="144"/>
      <c r="P70" s="221">
        <v>60780.240000000005</v>
      </c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</row>
    <row r="71" spans="1:28" s="141" customFormat="1" ht="27" hidden="1" x14ac:dyDescent="0.25">
      <c r="A71" s="178">
        <v>4</v>
      </c>
      <c r="B71" s="173" t="s">
        <v>228</v>
      </c>
      <c r="C71" s="150">
        <v>6</v>
      </c>
      <c r="D71" s="151">
        <v>8561.08</v>
      </c>
      <c r="E71" s="257">
        <v>51366.48</v>
      </c>
      <c r="F71" s="368">
        <v>616397.76</v>
      </c>
      <c r="G71" s="369"/>
      <c r="H71" s="152"/>
      <c r="I71" s="219">
        <v>12</v>
      </c>
      <c r="J71" s="219">
        <v>12</v>
      </c>
      <c r="K71" s="220">
        <v>6</v>
      </c>
      <c r="L71" s="153">
        <v>51366.479999999996</v>
      </c>
      <c r="M71" s="144"/>
      <c r="N71" s="144"/>
      <c r="O71" s="144"/>
      <c r="P71" s="221">
        <v>49729.319999999992</v>
      </c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</row>
    <row r="72" spans="1:28" s="141" customFormat="1" ht="27" hidden="1" x14ac:dyDescent="0.25">
      <c r="A72" s="178">
        <v>5</v>
      </c>
      <c r="B72" s="173" t="s">
        <v>229</v>
      </c>
      <c r="C72" s="150">
        <v>6</v>
      </c>
      <c r="D72" s="151">
        <v>10492.42</v>
      </c>
      <c r="E72" s="151">
        <v>62954.52</v>
      </c>
      <c r="F72" s="368">
        <v>755454.24</v>
      </c>
      <c r="G72" s="369"/>
      <c r="H72" s="152"/>
      <c r="I72" s="219">
        <v>12</v>
      </c>
      <c r="J72" s="219">
        <v>12</v>
      </c>
      <c r="K72" s="220">
        <v>6</v>
      </c>
      <c r="L72" s="153">
        <v>62954.520000000004</v>
      </c>
      <c r="M72" s="144"/>
      <c r="N72" s="144"/>
      <c r="O72" s="144"/>
      <c r="P72" s="221">
        <v>60973.200000000004</v>
      </c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</row>
    <row r="73" spans="1:28" s="141" customFormat="1" ht="27" hidden="1" x14ac:dyDescent="0.25">
      <c r="A73" s="178">
        <v>6</v>
      </c>
      <c r="B73" s="173" t="s">
        <v>230</v>
      </c>
      <c r="C73" s="150">
        <v>1</v>
      </c>
      <c r="D73" s="151">
        <v>8352.44</v>
      </c>
      <c r="E73" s="151">
        <v>8352.44</v>
      </c>
      <c r="F73" s="368">
        <v>100229.28</v>
      </c>
      <c r="G73" s="369"/>
      <c r="H73" s="152"/>
      <c r="I73" s="219">
        <v>2</v>
      </c>
      <c r="J73" s="219">
        <v>2</v>
      </c>
      <c r="K73" s="220">
        <v>1</v>
      </c>
      <c r="L73" s="153">
        <v>8352.44</v>
      </c>
      <c r="M73" s="144"/>
      <c r="N73" s="144"/>
      <c r="O73" s="144"/>
      <c r="P73" s="221">
        <v>8088.68</v>
      </c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</row>
    <row r="74" spans="1:28" s="141" customFormat="1" ht="27" hidden="1" x14ac:dyDescent="0.25">
      <c r="A74" s="178">
        <v>7</v>
      </c>
      <c r="B74" s="173" t="s">
        <v>231</v>
      </c>
      <c r="C74" s="150">
        <v>2</v>
      </c>
      <c r="D74" s="151">
        <v>3878.85</v>
      </c>
      <c r="E74" s="257">
        <v>7757.7</v>
      </c>
      <c r="F74" s="368">
        <v>93092.4</v>
      </c>
      <c r="G74" s="369"/>
      <c r="H74" s="152"/>
      <c r="I74" s="219">
        <v>4</v>
      </c>
      <c r="J74" s="262">
        <v>2</v>
      </c>
      <c r="K74" s="220">
        <v>2</v>
      </c>
      <c r="L74" s="153">
        <v>7757.7</v>
      </c>
      <c r="M74" s="144"/>
      <c r="N74" s="144">
        <v>3747.41</v>
      </c>
      <c r="O74" s="144"/>
      <c r="P74" s="221">
        <v>7494.82</v>
      </c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</row>
    <row r="75" spans="1:28" s="141" customFormat="1" ht="27" hidden="1" x14ac:dyDescent="0.25">
      <c r="A75" s="178">
        <v>8</v>
      </c>
      <c r="B75" s="173" t="s">
        <v>232</v>
      </c>
      <c r="C75" s="150">
        <v>2</v>
      </c>
      <c r="D75" s="151">
        <v>4844.55</v>
      </c>
      <c r="E75" s="151">
        <v>9689.1</v>
      </c>
      <c r="F75" s="368">
        <v>116269.2</v>
      </c>
      <c r="G75" s="369"/>
      <c r="H75" s="152"/>
      <c r="I75" s="219">
        <v>4</v>
      </c>
      <c r="J75" s="262">
        <v>2</v>
      </c>
      <c r="K75" s="220">
        <v>2</v>
      </c>
      <c r="L75" s="153">
        <v>9689.1</v>
      </c>
      <c r="M75" s="144"/>
      <c r="N75" s="144">
        <v>4684.4399999999996</v>
      </c>
      <c r="O75" s="144"/>
      <c r="P75" s="221">
        <v>9368.8799999999992</v>
      </c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</row>
    <row r="76" spans="1:28" s="141" customFormat="1" ht="27" hidden="1" x14ac:dyDescent="0.25">
      <c r="A76" s="178">
        <v>9</v>
      </c>
      <c r="B76" s="174" t="s">
        <v>235</v>
      </c>
      <c r="C76" s="150">
        <v>9</v>
      </c>
      <c r="D76" s="151">
        <v>8528.92</v>
      </c>
      <c r="E76" s="257">
        <v>76760.28</v>
      </c>
      <c r="F76" s="368">
        <v>921123.36</v>
      </c>
      <c r="G76" s="369"/>
      <c r="H76" s="370" t="s">
        <v>219</v>
      </c>
      <c r="I76" s="219"/>
      <c r="J76" s="153"/>
      <c r="K76" s="153"/>
      <c r="L76" s="153"/>
      <c r="M76" s="144"/>
      <c r="N76" s="144"/>
      <c r="O76" s="144"/>
      <c r="P76" s="221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</row>
    <row r="77" spans="1:28" s="141" customFormat="1" ht="27" hidden="1" x14ac:dyDescent="0.25">
      <c r="A77" s="178">
        <v>10</v>
      </c>
      <c r="B77" s="174" t="s">
        <v>236</v>
      </c>
      <c r="C77" s="150">
        <v>11</v>
      </c>
      <c r="D77" s="151">
        <v>10460.24</v>
      </c>
      <c r="E77" s="257">
        <v>115062.64</v>
      </c>
      <c r="F77" s="368">
        <v>1380751.68</v>
      </c>
      <c r="G77" s="369"/>
      <c r="H77" s="370"/>
      <c r="I77" s="219"/>
      <c r="J77" s="153"/>
      <c r="K77" s="153"/>
      <c r="L77" s="153"/>
      <c r="M77" s="144"/>
      <c r="N77" s="144"/>
      <c r="O77" s="144"/>
      <c r="P77" s="221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</row>
    <row r="78" spans="1:28" s="141" customFormat="1" ht="27" hidden="1" x14ac:dyDescent="0.25">
      <c r="A78" s="178">
        <v>11</v>
      </c>
      <c r="B78" s="174" t="s">
        <v>237</v>
      </c>
      <c r="C78" s="150">
        <v>8</v>
      </c>
      <c r="D78" s="151">
        <v>8561.08</v>
      </c>
      <c r="E78" s="257">
        <v>68488.639999999999</v>
      </c>
      <c r="F78" s="368">
        <v>821863.68</v>
      </c>
      <c r="G78" s="369"/>
      <c r="H78" s="370"/>
      <c r="I78" s="219">
        <v>4</v>
      </c>
      <c r="J78" s="262">
        <v>4</v>
      </c>
      <c r="K78" s="220">
        <v>2</v>
      </c>
      <c r="L78" s="153">
        <v>17122.16</v>
      </c>
      <c r="M78" s="144"/>
      <c r="N78" s="144"/>
      <c r="O78" s="144"/>
      <c r="P78" s="221">
        <v>16576.439999999999</v>
      </c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</row>
    <row r="79" spans="1:28" s="141" customFormat="1" ht="27" hidden="1" x14ac:dyDescent="0.25">
      <c r="A79" s="178">
        <v>12</v>
      </c>
      <c r="B79" s="174" t="s">
        <v>238</v>
      </c>
      <c r="C79" s="150">
        <v>8</v>
      </c>
      <c r="D79" s="151">
        <v>10492.42</v>
      </c>
      <c r="E79" s="151">
        <v>83939.36</v>
      </c>
      <c r="F79" s="368">
        <v>1007272.32</v>
      </c>
      <c r="G79" s="369"/>
      <c r="H79" s="370"/>
      <c r="I79" s="219">
        <v>4</v>
      </c>
      <c r="J79" s="262">
        <v>4</v>
      </c>
      <c r="K79" s="220">
        <v>2</v>
      </c>
      <c r="L79" s="153">
        <v>20984.84</v>
      </c>
      <c r="M79" s="144"/>
      <c r="N79" s="144"/>
      <c r="O79" s="144"/>
      <c r="P79" s="221">
        <v>20324.400000000001</v>
      </c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</row>
    <row r="80" spans="1:28" s="141" customFormat="1" hidden="1" x14ac:dyDescent="0.25">
      <c r="A80" s="371"/>
      <c r="B80" s="372"/>
      <c r="C80" s="150">
        <v>66</v>
      </c>
      <c r="D80" s="373"/>
      <c r="E80" s="374"/>
      <c r="F80" s="374"/>
      <c r="G80" s="375"/>
      <c r="H80" s="152"/>
      <c r="I80" s="219">
        <v>67</v>
      </c>
      <c r="J80" s="262">
        <v>63</v>
      </c>
      <c r="K80" s="223">
        <v>34</v>
      </c>
      <c r="L80" s="153">
        <v>296981.92000000004</v>
      </c>
      <c r="M80" s="144"/>
      <c r="N80" s="144"/>
      <c r="O80" s="144"/>
      <c r="P80" s="221">
        <v>287532.04000000004</v>
      </c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</row>
    <row r="81" spans="1:28" s="141" customFormat="1" ht="13.5" hidden="1" customHeight="1" x14ac:dyDescent="0.25">
      <c r="A81" s="350" t="s">
        <v>54</v>
      </c>
      <c r="B81" s="351"/>
      <c r="C81" s="351"/>
      <c r="D81" s="351"/>
      <c r="E81" s="258">
        <v>603125.84</v>
      </c>
      <c r="F81" s="352">
        <v>7237510.0800000001</v>
      </c>
      <c r="G81" s="353"/>
      <c r="H81" s="154"/>
      <c r="I81" s="155"/>
      <c r="J81" s="190"/>
      <c r="K81" s="190"/>
      <c r="L81" s="190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</row>
    <row r="82" spans="1:28" s="141" customFormat="1" ht="13.5" hidden="1" customHeight="1" x14ac:dyDescent="0.25">
      <c r="A82" s="354" t="s">
        <v>303</v>
      </c>
      <c r="B82" s="355"/>
      <c r="C82" s="355"/>
      <c r="D82" s="355"/>
      <c r="E82" s="355"/>
      <c r="F82" s="355"/>
      <c r="G82" s="356"/>
      <c r="H82" s="154"/>
      <c r="I82" s="155"/>
      <c r="J82" s="190"/>
      <c r="K82" s="190"/>
      <c r="L82" s="190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</row>
    <row r="83" spans="1:28" s="141" customFormat="1" ht="21.75" hidden="1" customHeight="1" x14ac:dyDescent="0.25">
      <c r="A83" s="383" t="s">
        <v>263</v>
      </c>
      <c r="B83" s="384"/>
      <c r="C83" s="384"/>
      <c r="D83" s="384"/>
      <c r="E83" s="384"/>
      <c r="F83" s="384"/>
      <c r="G83" s="385"/>
      <c r="H83" s="154"/>
      <c r="I83" s="155"/>
      <c r="J83" s="190"/>
      <c r="K83" s="190"/>
      <c r="L83" s="190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</row>
    <row r="84" spans="1:28" s="141" customFormat="1" ht="13.5" hidden="1" customHeight="1" x14ac:dyDescent="0.25">
      <c r="A84" s="350" t="s">
        <v>264</v>
      </c>
      <c r="B84" s="351"/>
      <c r="C84" s="351"/>
      <c r="D84" s="351"/>
      <c r="E84" s="351"/>
      <c r="F84" s="351"/>
      <c r="G84" s="357"/>
      <c r="H84" s="154"/>
      <c r="I84" s="155"/>
      <c r="J84" s="190"/>
      <c r="K84" s="190"/>
      <c r="L84" s="190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</row>
    <row r="85" spans="1:28" s="141" customFormat="1" ht="13.5" hidden="1" customHeight="1" x14ac:dyDescent="0.25">
      <c r="A85" s="358" t="s">
        <v>265</v>
      </c>
      <c r="B85" s="359"/>
      <c r="C85" s="359"/>
      <c r="D85" s="359"/>
      <c r="E85" s="360">
        <v>603125.84</v>
      </c>
      <c r="F85" s="360"/>
      <c r="G85" s="361"/>
      <c r="H85" s="154"/>
      <c r="I85" s="155"/>
      <c r="J85" s="190"/>
      <c r="K85" s="190"/>
      <c r="L85" s="190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</row>
    <row r="86" spans="1:28" s="141" customFormat="1" ht="13.5" hidden="1" customHeight="1" x14ac:dyDescent="0.25">
      <c r="A86" s="358" t="s">
        <v>266</v>
      </c>
      <c r="B86" s="359"/>
      <c r="C86" s="359"/>
      <c r="D86" s="359"/>
      <c r="E86" s="362">
        <v>12</v>
      </c>
      <c r="F86" s="362"/>
      <c r="G86" s="363"/>
      <c r="H86" s="154"/>
      <c r="I86" s="155"/>
      <c r="J86" s="190"/>
      <c r="K86" s="190"/>
      <c r="L86" s="190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</row>
    <row r="87" spans="1:28" s="141" customFormat="1" ht="13.5" hidden="1" customHeight="1" x14ac:dyDescent="0.25">
      <c r="A87" s="364" t="s">
        <v>267</v>
      </c>
      <c r="B87" s="365"/>
      <c r="C87" s="365"/>
      <c r="D87" s="365"/>
      <c r="E87" s="366">
        <v>7237510.0800000001</v>
      </c>
      <c r="F87" s="366"/>
      <c r="G87" s="367"/>
      <c r="H87" s="154"/>
      <c r="I87" s="155"/>
      <c r="J87" s="190"/>
      <c r="K87" s="190"/>
      <c r="L87" s="190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</row>
    <row r="88" spans="1:28" s="271" customFormat="1" ht="17.25" hidden="1" customHeight="1" x14ac:dyDescent="0.25">
      <c r="A88" s="263"/>
      <c r="B88" s="264"/>
      <c r="C88" s="264"/>
      <c r="D88" s="264"/>
      <c r="E88" s="265"/>
      <c r="F88" s="265"/>
      <c r="G88" s="266"/>
      <c r="H88" s="267"/>
      <c r="I88" s="268"/>
      <c r="J88" s="269"/>
      <c r="K88" s="269"/>
      <c r="L88" s="269"/>
      <c r="M88" s="270"/>
      <c r="N88" s="270"/>
      <c r="O88" s="270"/>
      <c r="P88" s="270"/>
      <c r="Q88" s="270"/>
      <c r="R88" s="270"/>
      <c r="S88" s="270"/>
      <c r="T88" s="270"/>
      <c r="U88" s="270"/>
      <c r="V88" s="270"/>
      <c r="W88" s="270"/>
      <c r="X88" s="270"/>
      <c r="Y88" s="270"/>
      <c r="Z88" s="270"/>
      <c r="AA88" s="270"/>
      <c r="AB88" s="270"/>
    </row>
    <row r="89" spans="1:28" s="141" customFormat="1" ht="21.75" hidden="1" customHeight="1" x14ac:dyDescent="0.25">
      <c r="A89" s="391" t="s">
        <v>323</v>
      </c>
      <c r="B89" s="392"/>
      <c r="C89" s="392"/>
      <c r="D89" s="392"/>
      <c r="E89" s="392"/>
      <c r="F89" s="392"/>
      <c r="G89" s="393"/>
      <c r="H89" s="288"/>
      <c r="I89" s="288"/>
      <c r="J89" s="287"/>
      <c r="K89" s="287"/>
      <c r="L89" s="287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</row>
    <row r="90" spans="1:28" s="141" customFormat="1" ht="28.5" hidden="1" customHeight="1" x14ac:dyDescent="0.25">
      <c r="A90" s="177" t="s">
        <v>42</v>
      </c>
      <c r="B90" s="286" t="s">
        <v>43</v>
      </c>
      <c r="C90" s="286" t="s">
        <v>144</v>
      </c>
      <c r="D90" s="286" t="s">
        <v>44</v>
      </c>
      <c r="E90" s="286" t="s">
        <v>45</v>
      </c>
      <c r="F90" s="379" t="s">
        <v>53</v>
      </c>
      <c r="G90" s="380"/>
      <c r="H90" s="148"/>
      <c r="I90" s="171"/>
      <c r="J90" s="287"/>
      <c r="K90" s="287"/>
      <c r="L90" s="287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</row>
    <row r="91" spans="1:28" s="141" customFormat="1" ht="27" hidden="1" x14ac:dyDescent="0.25">
      <c r="A91" s="178">
        <v>1</v>
      </c>
      <c r="B91" s="173" t="s">
        <v>225</v>
      </c>
      <c r="C91" s="150">
        <v>1</v>
      </c>
      <c r="D91" s="151">
        <v>4819.72</v>
      </c>
      <c r="E91" s="151">
        <v>4819.72</v>
      </c>
      <c r="F91" s="368">
        <v>57836.639999999999</v>
      </c>
      <c r="G91" s="369"/>
      <c r="H91" s="152"/>
      <c r="I91" s="219"/>
      <c r="J91" s="219"/>
      <c r="K91" s="220">
        <v>1</v>
      </c>
      <c r="L91" s="153">
        <v>4819.72</v>
      </c>
      <c r="M91" s="144"/>
      <c r="N91" s="144"/>
      <c r="O91" s="144"/>
      <c r="P91" s="221">
        <v>4659.7</v>
      </c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</row>
    <row r="92" spans="1:28" s="141" customFormat="1" ht="27" hidden="1" x14ac:dyDescent="0.25">
      <c r="A92" s="178">
        <v>2</v>
      </c>
      <c r="B92" s="173" t="s">
        <v>226</v>
      </c>
      <c r="C92" s="150">
        <v>5</v>
      </c>
      <c r="D92" s="151">
        <v>8528.92</v>
      </c>
      <c r="E92" s="272">
        <v>42644.6</v>
      </c>
      <c r="F92" s="368">
        <v>511735.2</v>
      </c>
      <c r="G92" s="369"/>
      <c r="H92" s="152"/>
      <c r="I92" s="219"/>
      <c r="J92" s="219"/>
      <c r="K92" s="220">
        <v>6</v>
      </c>
      <c r="L92" s="153">
        <v>51173.520000000004</v>
      </c>
      <c r="M92" s="144"/>
      <c r="N92" s="144"/>
      <c r="O92" s="144"/>
      <c r="P92" s="221">
        <v>49536.36</v>
      </c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</row>
    <row r="93" spans="1:28" s="141" customFormat="1" ht="27" hidden="1" x14ac:dyDescent="0.25">
      <c r="A93" s="178">
        <v>3</v>
      </c>
      <c r="B93" s="173" t="s">
        <v>227</v>
      </c>
      <c r="C93" s="150">
        <v>5</v>
      </c>
      <c r="D93" s="151">
        <v>10460.24</v>
      </c>
      <c r="E93" s="272">
        <v>52301.2</v>
      </c>
      <c r="F93" s="368">
        <v>627614.4</v>
      </c>
      <c r="G93" s="369"/>
      <c r="H93" s="152"/>
      <c r="I93" s="219"/>
      <c r="J93" s="219"/>
      <c r="K93" s="220">
        <v>6</v>
      </c>
      <c r="L93" s="153">
        <v>62761.440000000002</v>
      </c>
      <c r="M93" s="144"/>
      <c r="N93" s="144"/>
      <c r="O93" s="144"/>
      <c r="P93" s="221">
        <v>60780.240000000005</v>
      </c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</row>
    <row r="94" spans="1:28" s="141" customFormat="1" ht="27" hidden="1" x14ac:dyDescent="0.25">
      <c r="A94" s="178">
        <v>4</v>
      </c>
      <c r="B94" s="173" t="s">
        <v>228</v>
      </c>
      <c r="C94" s="150">
        <v>6</v>
      </c>
      <c r="D94" s="151">
        <v>8561.08</v>
      </c>
      <c r="E94" s="272">
        <v>51366.48</v>
      </c>
      <c r="F94" s="368">
        <v>616397.76</v>
      </c>
      <c r="G94" s="369"/>
      <c r="H94" s="152"/>
      <c r="I94" s="219"/>
      <c r="J94" s="219"/>
      <c r="K94" s="220">
        <v>6</v>
      </c>
      <c r="L94" s="153">
        <v>51366.479999999996</v>
      </c>
      <c r="M94" s="144"/>
      <c r="N94" s="144"/>
      <c r="O94" s="144"/>
      <c r="P94" s="221">
        <v>49729.319999999992</v>
      </c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</row>
    <row r="95" spans="1:28" s="141" customFormat="1" ht="27" hidden="1" x14ac:dyDescent="0.25">
      <c r="A95" s="178">
        <v>5</v>
      </c>
      <c r="B95" s="173" t="s">
        <v>229</v>
      </c>
      <c r="C95" s="150">
        <v>6</v>
      </c>
      <c r="D95" s="151">
        <v>10492.42</v>
      </c>
      <c r="E95" s="272">
        <v>62954.52</v>
      </c>
      <c r="F95" s="368">
        <v>755454.24</v>
      </c>
      <c r="G95" s="369"/>
      <c r="H95" s="152"/>
      <c r="I95" s="219"/>
      <c r="J95" s="219"/>
      <c r="K95" s="220">
        <v>6</v>
      </c>
      <c r="L95" s="153">
        <v>62954.520000000004</v>
      </c>
      <c r="M95" s="144"/>
      <c r="N95" s="144"/>
      <c r="O95" s="144"/>
      <c r="P95" s="221">
        <v>60973.200000000004</v>
      </c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</row>
    <row r="96" spans="1:28" s="141" customFormat="1" ht="27" hidden="1" x14ac:dyDescent="0.25">
      <c r="A96" s="178">
        <v>6</v>
      </c>
      <c r="B96" s="173" t="s">
        <v>230</v>
      </c>
      <c r="C96" s="273">
        <v>1</v>
      </c>
      <c r="D96" s="151">
        <v>8352.44</v>
      </c>
      <c r="E96" s="272">
        <v>8352.44</v>
      </c>
      <c r="F96" s="368">
        <v>100229.28</v>
      </c>
      <c r="G96" s="369"/>
      <c r="H96" s="152"/>
      <c r="I96" s="219"/>
      <c r="J96" s="219"/>
      <c r="K96" s="220">
        <v>1</v>
      </c>
      <c r="L96" s="153">
        <v>8352.44</v>
      </c>
      <c r="M96" s="144"/>
      <c r="N96" s="144"/>
      <c r="O96" s="144"/>
      <c r="P96" s="221">
        <v>8088.68</v>
      </c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</row>
    <row r="97" spans="1:28" s="141" customFormat="1" ht="27" hidden="1" x14ac:dyDescent="0.25">
      <c r="A97" s="178">
        <v>7</v>
      </c>
      <c r="B97" s="173" t="s">
        <v>231</v>
      </c>
      <c r="C97" s="150">
        <v>2</v>
      </c>
      <c r="D97" s="151">
        <v>3878.85</v>
      </c>
      <c r="E97" s="272">
        <v>7757.7</v>
      </c>
      <c r="F97" s="368">
        <v>93092.4</v>
      </c>
      <c r="G97" s="369"/>
      <c r="H97" s="152"/>
      <c r="I97" s="219"/>
      <c r="J97" s="262"/>
      <c r="K97" s="220">
        <v>2</v>
      </c>
      <c r="L97" s="153">
        <v>7757.7</v>
      </c>
      <c r="M97" s="144"/>
      <c r="N97" s="144">
        <v>3747.41</v>
      </c>
      <c r="O97" s="144"/>
      <c r="P97" s="221">
        <v>7494.82</v>
      </c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</row>
    <row r="98" spans="1:28" s="141" customFormat="1" ht="27" hidden="1" x14ac:dyDescent="0.25">
      <c r="A98" s="178">
        <v>8</v>
      </c>
      <c r="B98" s="173" t="s">
        <v>232</v>
      </c>
      <c r="C98" s="273">
        <v>2</v>
      </c>
      <c r="D98" s="151">
        <v>4844.55</v>
      </c>
      <c r="E98" s="272">
        <v>9689.1</v>
      </c>
      <c r="F98" s="368">
        <v>116269.2</v>
      </c>
      <c r="G98" s="369"/>
      <c r="H98" s="152"/>
      <c r="I98" s="219"/>
      <c r="J98" s="262"/>
      <c r="K98" s="220">
        <v>2</v>
      </c>
      <c r="L98" s="153">
        <v>9689.1</v>
      </c>
      <c r="M98" s="144"/>
      <c r="N98" s="144">
        <v>4684.4399999999996</v>
      </c>
      <c r="O98" s="144"/>
      <c r="P98" s="221">
        <v>9368.8799999999992</v>
      </c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</row>
    <row r="99" spans="1:28" s="141" customFormat="1" ht="27" hidden="1" x14ac:dyDescent="0.25">
      <c r="A99" s="178">
        <v>9</v>
      </c>
      <c r="B99" s="174" t="s">
        <v>235</v>
      </c>
      <c r="C99" s="273">
        <v>9</v>
      </c>
      <c r="D99" s="151">
        <v>8528.92</v>
      </c>
      <c r="E99" s="272">
        <v>76760.28</v>
      </c>
      <c r="F99" s="368">
        <v>921123.36</v>
      </c>
      <c r="G99" s="369"/>
      <c r="H99" s="370" t="s">
        <v>219</v>
      </c>
      <c r="I99" s="219"/>
      <c r="J99" s="153"/>
      <c r="K99" s="153">
        <v>9</v>
      </c>
      <c r="L99" s="153">
        <v>76760.28</v>
      </c>
      <c r="M99" s="144"/>
      <c r="N99" s="144"/>
      <c r="O99" s="144"/>
      <c r="P99" s="221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</row>
    <row r="100" spans="1:28" s="141" customFormat="1" ht="27" hidden="1" x14ac:dyDescent="0.25">
      <c r="A100" s="178">
        <v>10</v>
      </c>
      <c r="B100" s="174" t="s">
        <v>236</v>
      </c>
      <c r="C100" s="273">
        <v>11</v>
      </c>
      <c r="D100" s="151">
        <v>10460.24</v>
      </c>
      <c r="E100" s="272">
        <v>115062.64</v>
      </c>
      <c r="F100" s="368">
        <v>1380751.68</v>
      </c>
      <c r="G100" s="369"/>
      <c r="H100" s="370"/>
      <c r="I100" s="219"/>
      <c r="J100" s="153"/>
      <c r="K100" s="153">
        <v>11</v>
      </c>
      <c r="L100" s="153">
        <v>115062.64</v>
      </c>
      <c r="M100" s="144"/>
      <c r="N100" s="144"/>
      <c r="O100" s="144"/>
      <c r="P100" s="221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</row>
    <row r="101" spans="1:28" s="141" customFormat="1" ht="27" hidden="1" x14ac:dyDescent="0.25">
      <c r="A101" s="178">
        <v>11</v>
      </c>
      <c r="B101" s="174" t="s">
        <v>237</v>
      </c>
      <c r="C101" s="273">
        <v>8</v>
      </c>
      <c r="D101" s="151">
        <v>8561.08</v>
      </c>
      <c r="E101" s="272">
        <v>68488.639999999999</v>
      </c>
      <c r="F101" s="368">
        <v>821863.68</v>
      </c>
      <c r="G101" s="369"/>
      <c r="H101" s="370"/>
      <c r="I101" s="219"/>
      <c r="J101" s="262"/>
      <c r="K101" s="220">
        <v>8</v>
      </c>
      <c r="L101" s="153">
        <v>68488.639999999999</v>
      </c>
      <c r="M101" s="144"/>
      <c r="N101" s="144"/>
      <c r="O101" s="144"/>
      <c r="P101" s="221">
        <v>16576.439999999999</v>
      </c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</row>
    <row r="102" spans="1:28" s="141" customFormat="1" ht="27" hidden="1" x14ac:dyDescent="0.25">
      <c r="A102" s="178">
        <v>12</v>
      </c>
      <c r="B102" s="174" t="s">
        <v>238</v>
      </c>
      <c r="C102" s="273">
        <v>8</v>
      </c>
      <c r="D102" s="151">
        <v>10492.42</v>
      </c>
      <c r="E102" s="151">
        <v>83939.36</v>
      </c>
      <c r="F102" s="368">
        <v>1007272.32</v>
      </c>
      <c r="G102" s="369"/>
      <c r="H102" s="370"/>
      <c r="I102" s="219"/>
      <c r="J102" s="262"/>
      <c r="K102" s="220">
        <v>8</v>
      </c>
      <c r="L102" s="153">
        <v>83939.36</v>
      </c>
      <c r="M102" s="144"/>
      <c r="N102" s="144"/>
      <c r="O102" s="144"/>
      <c r="P102" s="221">
        <v>20324.400000000001</v>
      </c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</row>
    <row r="103" spans="1:28" s="141" customFormat="1" hidden="1" x14ac:dyDescent="0.25">
      <c r="A103" s="371"/>
      <c r="B103" s="372"/>
      <c r="C103" s="150">
        <v>64</v>
      </c>
      <c r="D103" s="373"/>
      <c r="E103" s="374"/>
      <c r="F103" s="374"/>
      <c r="G103" s="375"/>
      <c r="H103" s="152"/>
      <c r="I103" s="219"/>
      <c r="J103" s="262"/>
      <c r="K103" s="223">
        <v>66</v>
      </c>
      <c r="L103" s="153">
        <v>603125.84000000008</v>
      </c>
      <c r="M103" s="144"/>
      <c r="N103" s="144"/>
      <c r="O103" s="144"/>
      <c r="P103" s="221">
        <v>287532.04000000004</v>
      </c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</row>
    <row r="104" spans="1:28" s="141" customFormat="1" ht="13.5" hidden="1" customHeight="1" x14ac:dyDescent="0.25">
      <c r="A104" s="350" t="s">
        <v>54</v>
      </c>
      <c r="B104" s="351"/>
      <c r="C104" s="351"/>
      <c r="D104" s="351"/>
      <c r="E104" s="258">
        <v>584136.68000000005</v>
      </c>
      <c r="F104" s="352">
        <v>7009640.1600000001</v>
      </c>
      <c r="G104" s="353"/>
      <c r="H104" s="154">
        <v>-80785.569999999949</v>
      </c>
      <c r="I104" s="155"/>
      <c r="J104" s="190"/>
      <c r="K104" s="190"/>
      <c r="L104" s="258">
        <v>603125.84</v>
      </c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</row>
    <row r="105" spans="1:28" s="141" customFormat="1" ht="13.5" hidden="1" customHeight="1" x14ac:dyDescent="0.25">
      <c r="A105" s="354"/>
      <c r="B105" s="355"/>
      <c r="C105" s="355"/>
      <c r="D105" s="355"/>
      <c r="E105" s="355"/>
      <c r="F105" s="355"/>
      <c r="G105" s="356"/>
      <c r="H105" s="154" t="e">
        <f>F104+#REF!</f>
        <v>#REF!</v>
      </c>
      <c r="I105" s="155"/>
      <c r="J105" s="190"/>
      <c r="K105" s="190"/>
      <c r="L105" s="190">
        <v>80785.569999999949</v>
      </c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</row>
    <row r="106" spans="1:28" s="141" customFormat="1" ht="21.75" hidden="1" customHeight="1" x14ac:dyDescent="0.25">
      <c r="A106" s="383" t="s">
        <v>263</v>
      </c>
      <c r="B106" s="384"/>
      <c r="C106" s="384"/>
      <c r="D106" s="384"/>
      <c r="E106" s="384"/>
      <c r="F106" s="384"/>
      <c r="G106" s="385"/>
      <c r="H106" s="154"/>
      <c r="I106" s="155"/>
      <c r="J106" s="190"/>
      <c r="K106" s="190"/>
      <c r="L106" s="190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</row>
    <row r="107" spans="1:28" s="141" customFormat="1" ht="13.5" hidden="1" customHeight="1" x14ac:dyDescent="0.25">
      <c r="A107" s="350" t="s">
        <v>264</v>
      </c>
      <c r="B107" s="351"/>
      <c r="C107" s="351"/>
      <c r="D107" s="351"/>
      <c r="E107" s="351"/>
      <c r="F107" s="351"/>
      <c r="G107" s="357"/>
      <c r="H107" s="154"/>
      <c r="I107" s="155"/>
      <c r="J107" s="190"/>
      <c r="K107" s="190"/>
      <c r="L107" s="190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</row>
    <row r="108" spans="1:28" s="141" customFormat="1" ht="13.5" hidden="1" customHeight="1" x14ac:dyDescent="0.25">
      <c r="A108" s="358" t="s">
        <v>265</v>
      </c>
      <c r="B108" s="359"/>
      <c r="C108" s="359"/>
      <c r="D108" s="359"/>
      <c r="E108" s="360">
        <v>584136.68000000005</v>
      </c>
      <c r="F108" s="360"/>
      <c r="G108" s="361"/>
      <c r="H108" s="154"/>
      <c r="I108" s="155"/>
      <c r="J108" s="190"/>
      <c r="K108" s="190"/>
      <c r="L108" s="190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</row>
    <row r="109" spans="1:28" s="141" customFormat="1" ht="13.5" hidden="1" customHeight="1" x14ac:dyDescent="0.25">
      <c r="A109" s="358" t="s">
        <v>266</v>
      </c>
      <c r="B109" s="359"/>
      <c r="C109" s="359"/>
      <c r="D109" s="359"/>
      <c r="E109" s="362">
        <v>12</v>
      </c>
      <c r="F109" s="362"/>
      <c r="G109" s="363"/>
      <c r="H109" s="154"/>
      <c r="I109" s="155"/>
      <c r="J109" s="190"/>
      <c r="K109" s="190"/>
      <c r="L109" s="190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</row>
    <row r="110" spans="1:28" s="141" customFormat="1" ht="13.5" hidden="1" customHeight="1" x14ac:dyDescent="0.25">
      <c r="A110" s="364" t="s">
        <v>267</v>
      </c>
      <c r="B110" s="365"/>
      <c r="C110" s="365"/>
      <c r="D110" s="365"/>
      <c r="E110" s="366">
        <v>7009640.1600000001</v>
      </c>
      <c r="F110" s="366"/>
      <c r="G110" s="367"/>
      <c r="H110" s="154"/>
      <c r="I110" s="155"/>
      <c r="J110" s="190"/>
      <c r="K110" s="190"/>
      <c r="L110" s="190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</row>
    <row r="111" spans="1:28" s="284" customFormat="1" ht="13.5" hidden="1" customHeight="1" x14ac:dyDescent="0.25">
      <c r="A111" s="277"/>
      <c r="B111" s="278"/>
      <c r="C111" s="278"/>
      <c r="D111" s="278"/>
      <c r="E111" s="279"/>
      <c r="F111" s="279"/>
      <c r="G111" s="280"/>
      <c r="H111" s="281"/>
      <c r="I111" s="282"/>
      <c r="J111" s="269"/>
      <c r="K111" s="269"/>
      <c r="L111" s="269"/>
      <c r="M111" s="283"/>
      <c r="N111" s="283"/>
      <c r="O111" s="283"/>
      <c r="P111" s="283"/>
      <c r="Q111" s="283"/>
      <c r="R111" s="283"/>
      <c r="S111" s="283"/>
      <c r="T111" s="283"/>
      <c r="U111" s="283"/>
      <c r="V111" s="283"/>
      <c r="W111" s="283"/>
      <c r="X111" s="283"/>
      <c r="Y111" s="283"/>
      <c r="Z111" s="283"/>
      <c r="AA111" s="283"/>
      <c r="AB111" s="283"/>
    </row>
    <row r="112" spans="1:28" s="141" customFormat="1" ht="21.75" hidden="1" customHeight="1" x14ac:dyDescent="0.25">
      <c r="A112" s="391" t="s">
        <v>325</v>
      </c>
      <c r="B112" s="392"/>
      <c r="C112" s="392"/>
      <c r="D112" s="392"/>
      <c r="E112" s="392"/>
      <c r="F112" s="392"/>
      <c r="G112" s="393"/>
      <c r="H112" s="276"/>
      <c r="I112" s="276"/>
      <c r="J112" s="275"/>
      <c r="K112" s="275"/>
      <c r="L112" s="275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</row>
    <row r="113" spans="1:28" s="141" customFormat="1" ht="28.5" hidden="1" customHeight="1" x14ac:dyDescent="0.25">
      <c r="A113" s="177" t="s">
        <v>42</v>
      </c>
      <c r="B113" s="274" t="s">
        <v>43</v>
      </c>
      <c r="C113" s="274" t="s">
        <v>144</v>
      </c>
      <c r="D113" s="274" t="s">
        <v>44</v>
      </c>
      <c r="E113" s="274" t="s">
        <v>45</v>
      </c>
      <c r="F113" s="379" t="s">
        <v>53</v>
      </c>
      <c r="G113" s="380"/>
      <c r="H113" s="148"/>
      <c r="I113" s="171"/>
      <c r="J113" s="275"/>
      <c r="K113" s="275"/>
      <c r="L113" s="275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</row>
    <row r="114" spans="1:28" s="141" customFormat="1" ht="27" hidden="1" x14ac:dyDescent="0.25">
      <c r="A114" s="178">
        <v>1</v>
      </c>
      <c r="B114" s="173" t="s">
        <v>225</v>
      </c>
      <c r="C114" s="150">
        <v>1</v>
      </c>
      <c r="D114" s="151">
        <v>4819.72</v>
      </c>
      <c r="E114" s="151">
        <v>4819.72</v>
      </c>
      <c r="F114" s="368">
        <v>57836.639999999999</v>
      </c>
      <c r="G114" s="369"/>
      <c r="H114" s="152"/>
      <c r="I114" s="219"/>
      <c r="J114" s="219"/>
      <c r="K114" s="220">
        <v>1</v>
      </c>
      <c r="L114" s="153">
        <v>4819.72</v>
      </c>
      <c r="M114" s="144"/>
      <c r="N114" s="144"/>
      <c r="O114" s="144"/>
      <c r="P114" s="221">
        <v>4659.7</v>
      </c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</row>
    <row r="115" spans="1:28" s="141" customFormat="1" ht="27" hidden="1" x14ac:dyDescent="0.25">
      <c r="A115" s="178">
        <v>2</v>
      </c>
      <c r="B115" s="173" t="s">
        <v>226</v>
      </c>
      <c r="C115" s="150">
        <v>6</v>
      </c>
      <c r="D115" s="151">
        <v>8528.92</v>
      </c>
      <c r="E115" s="272">
        <v>51173.520000000004</v>
      </c>
      <c r="F115" s="368">
        <v>614082.24</v>
      </c>
      <c r="G115" s="369"/>
      <c r="H115" s="152"/>
      <c r="I115" s="219"/>
      <c r="J115" s="219"/>
      <c r="K115" s="220">
        <v>6</v>
      </c>
      <c r="L115" s="153">
        <v>51173.520000000004</v>
      </c>
      <c r="M115" s="144"/>
      <c r="N115" s="144"/>
      <c r="O115" s="144"/>
      <c r="P115" s="221">
        <v>49536.36</v>
      </c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</row>
    <row r="116" spans="1:28" s="141" customFormat="1" ht="27" hidden="1" x14ac:dyDescent="0.25">
      <c r="A116" s="178">
        <v>3</v>
      </c>
      <c r="B116" s="173" t="s">
        <v>227</v>
      </c>
      <c r="C116" s="293">
        <v>6</v>
      </c>
      <c r="D116" s="151">
        <v>10460.24</v>
      </c>
      <c r="E116" s="272">
        <v>62761.440000000002</v>
      </c>
      <c r="F116" s="368">
        <v>753137.28</v>
      </c>
      <c r="G116" s="369"/>
      <c r="H116" s="152">
        <v>8</v>
      </c>
      <c r="I116" s="219"/>
      <c r="J116" s="219"/>
      <c r="K116" s="220">
        <v>6</v>
      </c>
      <c r="L116" s="153">
        <v>62761.440000000002</v>
      </c>
      <c r="M116" s="144"/>
      <c r="N116" s="144"/>
      <c r="O116" s="144"/>
      <c r="P116" s="221">
        <v>60780.240000000005</v>
      </c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</row>
    <row r="117" spans="1:28" s="141" customFormat="1" ht="27" hidden="1" x14ac:dyDescent="0.25">
      <c r="A117" s="178">
        <v>4</v>
      </c>
      <c r="B117" s="173" t="s">
        <v>228</v>
      </c>
      <c r="C117" s="150">
        <v>6</v>
      </c>
      <c r="D117" s="151">
        <v>8561.08</v>
      </c>
      <c r="E117" s="272">
        <v>51366.48</v>
      </c>
      <c r="F117" s="368">
        <v>616397.76</v>
      </c>
      <c r="G117" s="369"/>
      <c r="H117" s="152"/>
      <c r="I117" s="219"/>
      <c r="J117" s="219"/>
      <c r="K117" s="220">
        <v>6</v>
      </c>
      <c r="L117" s="153">
        <v>51366.479999999996</v>
      </c>
      <c r="M117" s="144"/>
      <c r="N117" s="144"/>
      <c r="O117" s="144"/>
      <c r="P117" s="221">
        <v>49729.319999999992</v>
      </c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</row>
    <row r="118" spans="1:28" s="141" customFormat="1" ht="27" hidden="1" x14ac:dyDescent="0.25">
      <c r="A118" s="178">
        <v>5</v>
      </c>
      <c r="B118" s="173" t="s">
        <v>229</v>
      </c>
      <c r="C118" s="293">
        <v>6</v>
      </c>
      <c r="D118" s="151">
        <v>10492.42</v>
      </c>
      <c r="E118" s="272">
        <v>62954.52</v>
      </c>
      <c r="F118" s="368">
        <v>755454.24</v>
      </c>
      <c r="G118" s="369"/>
      <c r="H118" s="152">
        <v>8</v>
      </c>
      <c r="I118" s="219"/>
      <c r="J118" s="219"/>
      <c r="K118" s="220">
        <v>6</v>
      </c>
      <c r="L118" s="153">
        <v>62954.520000000004</v>
      </c>
      <c r="M118" s="144"/>
      <c r="N118" s="144"/>
      <c r="O118" s="144"/>
      <c r="P118" s="221">
        <v>60973.200000000004</v>
      </c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</row>
    <row r="119" spans="1:28" s="141" customFormat="1" ht="27" hidden="1" x14ac:dyDescent="0.25">
      <c r="A119" s="178">
        <v>6</v>
      </c>
      <c r="B119" s="173" t="s">
        <v>230</v>
      </c>
      <c r="C119" s="273">
        <v>0</v>
      </c>
      <c r="D119" s="151">
        <v>8352.44</v>
      </c>
      <c r="E119" s="272">
        <v>0</v>
      </c>
      <c r="F119" s="368">
        <v>0</v>
      </c>
      <c r="G119" s="369"/>
      <c r="H119" s="152"/>
      <c r="I119" s="219"/>
      <c r="J119" s="219"/>
      <c r="K119" s="220">
        <v>1</v>
      </c>
      <c r="L119" s="153">
        <v>8352.44</v>
      </c>
      <c r="M119" s="144"/>
      <c r="N119" s="144"/>
      <c r="O119" s="144"/>
      <c r="P119" s="221">
        <v>8088.68</v>
      </c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</row>
    <row r="120" spans="1:28" s="141" customFormat="1" ht="27" hidden="1" x14ac:dyDescent="0.25">
      <c r="A120" s="178">
        <v>7</v>
      </c>
      <c r="B120" s="173" t="s">
        <v>231</v>
      </c>
      <c r="C120" s="150">
        <v>2</v>
      </c>
      <c r="D120" s="151">
        <v>3878.85</v>
      </c>
      <c r="E120" s="272">
        <v>7757.7</v>
      </c>
      <c r="F120" s="368">
        <v>93092.4</v>
      </c>
      <c r="G120" s="369"/>
      <c r="H120" s="152"/>
      <c r="I120" s="219"/>
      <c r="J120" s="262"/>
      <c r="K120" s="220">
        <v>2</v>
      </c>
      <c r="L120" s="153">
        <v>7757.7</v>
      </c>
      <c r="M120" s="144"/>
      <c r="N120" s="144">
        <v>3747.41</v>
      </c>
      <c r="O120" s="144"/>
      <c r="P120" s="221">
        <v>7494.82</v>
      </c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</row>
    <row r="121" spans="1:28" s="141" customFormat="1" ht="27" hidden="1" x14ac:dyDescent="0.25">
      <c r="A121" s="178">
        <v>8</v>
      </c>
      <c r="B121" s="173" t="s">
        <v>232</v>
      </c>
      <c r="C121" s="273">
        <v>1</v>
      </c>
      <c r="D121" s="151">
        <v>4844.55</v>
      </c>
      <c r="E121" s="272">
        <v>4844.55</v>
      </c>
      <c r="F121" s="368">
        <v>58134.6</v>
      </c>
      <c r="G121" s="369"/>
      <c r="H121" s="152"/>
      <c r="I121" s="219"/>
      <c r="J121" s="262"/>
      <c r="K121" s="220">
        <v>2</v>
      </c>
      <c r="L121" s="153">
        <v>9689.1</v>
      </c>
      <c r="M121" s="144"/>
      <c r="N121" s="144">
        <v>4684.4399999999996</v>
      </c>
      <c r="O121" s="144"/>
      <c r="P121" s="221">
        <v>9368.8799999999992</v>
      </c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</row>
    <row r="122" spans="1:28" s="141" customFormat="1" ht="27" hidden="1" x14ac:dyDescent="0.25">
      <c r="A122" s="178">
        <v>9</v>
      </c>
      <c r="B122" s="174" t="s">
        <v>235</v>
      </c>
      <c r="C122" s="273">
        <v>8</v>
      </c>
      <c r="D122" s="151">
        <v>8528.92</v>
      </c>
      <c r="E122" s="272">
        <v>68231.360000000001</v>
      </c>
      <c r="F122" s="368">
        <v>818776.32</v>
      </c>
      <c r="G122" s="369"/>
      <c r="H122" s="370" t="s">
        <v>219</v>
      </c>
      <c r="I122" s="219"/>
      <c r="J122" s="153"/>
      <c r="K122" s="153">
        <v>9</v>
      </c>
      <c r="L122" s="153">
        <v>76760.28</v>
      </c>
      <c r="M122" s="144"/>
      <c r="N122" s="144"/>
      <c r="O122" s="144"/>
      <c r="P122" s="221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</row>
    <row r="123" spans="1:28" s="141" customFormat="1" ht="27" hidden="1" x14ac:dyDescent="0.25">
      <c r="A123" s="178">
        <v>10</v>
      </c>
      <c r="B123" s="174" t="s">
        <v>236</v>
      </c>
      <c r="C123" s="273">
        <v>10</v>
      </c>
      <c r="D123" s="151">
        <v>10460.24</v>
      </c>
      <c r="E123" s="272">
        <v>104602.4</v>
      </c>
      <c r="F123" s="368">
        <v>1255228.8</v>
      </c>
      <c r="G123" s="369"/>
      <c r="H123" s="370"/>
      <c r="I123" s="219"/>
      <c r="J123" s="153"/>
      <c r="K123" s="153">
        <v>11</v>
      </c>
      <c r="L123" s="153">
        <v>115062.64</v>
      </c>
      <c r="M123" s="144"/>
      <c r="N123" s="144"/>
      <c r="O123" s="144"/>
      <c r="P123" s="221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</row>
    <row r="124" spans="1:28" s="141" customFormat="1" ht="27" hidden="1" x14ac:dyDescent="0.25">
      <c r="A124" s="178">
        <v>11</v>
      </c>
      <c r="B124" s="174" t="s">
        <v>237</v>
      </c>
      <c r="C124" s="273">
        <v>6</v>
      </c>
      <c r="D124" s="151">
        <v>8561.08</v>
      </c>
      <c r="E124" s="272">
        <v>51366.48</v>
      </c>
      <c r="F124" s="368">
        <v>616397.76</v>
      </c>
      <c r="G124" s="369"/>
      <c r="H124" s="370"/>
      <c r="I124" s="219"/>
      <c r="J124" s="262"/>
      <c r="K124" s="220">
        <v>8</v>
      </c>
      <c r="L124" s="153">
        <v>68488.639999999999</v>
      </c>
      <c r="M124" s="144"/>
      <c r="N124" s="144"/>
      <c r="O124" s="144"/>
      <c r="P124" s="221">
        <v>16576.439999999999</v>
      </c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</row>
    <row r="125" spans="1:28" s="141" customFormat="1" ht="27" hidden="1" x14ac:dyDescent="0.25">
      <c r="A125" s="178">
        <v>12</v>
      </c>
      <c r="B125" s="174" t="s">
        <v>238</v>
      </c>
      <c r="C125" s="273">
        <v>5</v>
      </c>
      <c r="D125" s="151">
        <v>10492.42</v>
      </c>
      <c r="E125" s="151">
        <v>52462.1</v>
      </c>
      <c r="F125" s="368">
        <v>629545.19999999995</v>
      </c>
      <c r="G125" s="369"/>
      <c r="H125" s="370"/>
      <c r="I125" s="219"/>
      <c r="J125" s="262"/>
      <c r="K125" s="220">
        <v>8</v>
      </c>
      <c r="L125" s="153">
        <v>83939.36</v>
      </c>
      <c r="M125" s="144"/>
      <c r="N125" s="144"/>
      <c r="O125" s="144"/>
      <c r="P125" s="221">
        <v>20324.400000000001</v>
      </c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</row>
    <row r="126" spans="1:28" s="141" customFormat="1" hidden="1" x14ac:dyDescent="0.25">
      <c r="A126" s="371"/>
      <c r="B126" s="372"/>
      <c r="C126" s="150">
        <v>57</v>
      </c>
      <c r="D126" s="373"/>
      <c r="E126" s="374"/>
      <c r="F126" s="374"/>
      <c r="G126" s="375"/>
      <c r="H126" s="152"/>
      <c r="I126" s="219"/>
      <c r="J126" s="262"/>
      <c r="K126" s="223">
        <v>66</v>
      </c>
      <c r="L126" s="153">
        <v>603125.84000000008</v>
      </c>
      <c r="M126" s="144"/>
      <c r="N126" s="144"/>
      <c r="O126" s="144"/>
      <c r="P126" s="221">
        <v>287532.04000000004</v>
      </c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</row>
    <row r="127" spans="1:28" s="141" customFormat="1" ht="13.5" hidden="1" customHeight="1" x14ac:dyDescent="0.25">
      <c r="A127" s="350" t="s">
        <v>54</v>
      </c>
      <c r="B127" s="351"/>
      <c r="C127" s="351"/>
      <c r="D127" s="351"/>
      <c r="E127" s="258">
        <v>522340.27</v>
      </c>
      <c r="F127" s="352">
        <v>6268083.2400000002</v>
      </c>
      <c r="G127" s="353"/>
      <c r="H127" s="154">
        <v>-80785.569999999949</v>
      </c>
      <c r="I127" s="155"/>
      <c r="J127" s="190"/>
      <c r="K127" s="190"/>
      <c r="L127" s="258">
        <v>603125.84</v>
      </c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</row>
    <row r="128" spans="1:28" s="141" customFormat="1" ht="13.5" hidden="1" customHeight="1" x14ac:dyDescent="0.25">
      <c r="A128" s="354"/>
      <c r="B128" s="355"/>
      <c r="C128" s="355"/>
      <c r="D128" s="355"/>
      <c r="E128" s="355"/>
      <c r="F128" s="355"/>
      <c r="G128" s="356"/>
      <c r="H128" s="154"/>
      <c r="I128" s="155"/>
      <c r="J128" s="190"/>
      <c r="K128" s="190"/>
      <c r="L128" s="190">
        <v>80785.569999999949</v>
      </c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</row>
    <row r="129" spans="1:28" s="141" customFormat="1" ht="21.75" hidden="1" customHeight="1" x14ac:dyDescent="0.25">
      <c r="A129" s="383" t="s">
        <v>263</v>
      </c>
      <c r="B129" s="384"/>
      <c r="C129" s="384"/>
      <c r="D129" s="384"/>
      <c r="E129" s="384"/>
      <c r="F129" s="384"/>
      <c r="G129" s="385"/>
      <c r="H129" s="154"/>
      <c r="I129" s="155"/>
      <c r="J129" s="190"/>
      <c r="K129" s="190"/>
      <c r="L129" s="190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</row>
    <row r="130" spans="1:28" s="141" customFormat="1" ht="13.5" hidden="1" customHeight="1" x14ac:dyDescent="0.25">
      <c r="A130" s="350" t="s">
        <v>264</v>
      </c>
      <c r="B130" s="351"/>
      <c r="C130" s="351"/>
      <c r="D130" s="351"/>
      <c r="E130" s="351"/>
      <c r="F130" s="351"/>
      <c r="G130" s="357"/>
      <c r="H130" s="154"/>
      <c r="I130" s="155"/>
      <c r="J130" s="190"/>
      <c r="K130" s="190"/>
      <c r="L130" s="190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</row>
    <row r="131" spans="1:28" s="141" customFormat="1" ht="13.5" hidden="1" customHeight="1" x14ac:dyDescent="0.25">
      <c r="A131" s="358" t="s">
        <v>265</v>
      </c>
      <c r="B131" s="359"/>
      <c r="C131" s="359"/>
      <c r="D131" s="359"/>
      <c r="E131" s="360">
        <v>522340.27</v>
      </c>
      <c r="F131" s="360"/>
      <c r="G131" s="361"/>
      <c r="H131" s="154"/>
      <c r="I131" s="155"/>
      <c r="J131" s="190"/>
      <c r="K131" s="190"/>
      <c r="L131" s="190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</row>
    <row r="132" spans="1:28" s="141" customFormat="1" ht="13.5" hidden="1" customHeight="1" x14ac:dyDescent="0.25">
      <c r="A132" s="358" t="s">
        <v>266</v>
      </c>
      <c r="B132" s="359"/>
      <c r="C132" s="359"/>
      <c r="D132" s="359"/>
      <c r="E132" s="362">
        <v>12</v>
      </c>
      <c r="F132" s="362"/>
      <c r="G132" s="363"/>
      <c r="H132" s="154"/>
      <c r="I132" s="155"/>
      <c r="J132" s="190"/>
      <c r="K132" s="190"/>
      <c r="L132" s="190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</row>
    <row r="133" spans="1:28" s="141" customFormat="1" ht="13.5" hidden="1" customHeight="1" x14ac:dyDescent="0.25">
      <c r="A133" s="364" t="s">
        <v>267</v>
      </c>
      <c r="B133" s="365"/>
      <c r="C133" s="365"/>
      <c r="D133" s="365"/>
      <c r="E133" s="366">
        <v>6268083.2400000002</v>
      </c>
      <c r="F133" s="366"/>
      <c r="G133" s="367"/>
      <c r="H133" s="154"/>
      <c r="I133" s="155"/>
      <c r="J133" s="190"/>
      <c r="K133" s="190"/>
      <c r="L133" s="190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</row>
    <row r="134" spans="1:28" s="284" customFormat="1" ht="13.5" hidden="1" customHeight="1" x14ac:dyDescent="0.25">
      <c r="A134" s="277"/>
      <c r="B134" s="278"/>
      <c r="C134" s="278"/>
      <c r="D134" s="278"/>
      <c r="E134" s="279"/>
      <c r="F134" s="279"/>
      <c r="G134" s="280"/>
      <c r="H134" s="281"/>
      <c r="I134" s="282"/>
      <c r="J134" s="269"/>
      <c r="K134" s="269"/>
      <c r="L134" s="269"/>
      <c r="M134" s="283"/>
      <c r="N134" s="283"/>
      <c r="O134" s="283"/>
      <c r="P134" s="283"/>
      <c r="Q134" s="283"/>
      <c r="R134" s="283"/>
      <c r="S134" s="283"/>
      <c r="T134" s="283"/>
      <c r="U134" s="283"/>
      <c r="V134" s="283"/>
      <c r="W134" s="283"/>
      <c r="X134" s="283"/>
      <c r="Y134" s="283"/>
      <c r="Z134" s="283"/>
      <c r="AA134" s="283"/>
      <c r="AB134" s="283"/>
    </row>
    <row r="135" spans="1:28" s="141" customFormat="1" ht="21.75" hidden="1" customHeight="1" x14ac:dyDescent="0.25">
      <c r="A135" s="391" t="s">
        <v>324</v>
      </c>
      <c r="B135" s="392"/>
      <c r="C135" s="392"/>
      <c r="D135" s="392"/>
      <c r="E135" s="392"/>
      <c r="F135" s="392"/>
      <c r="G135" s="393"/>
      <c r="H135" s="291"/>
      <c r="I135" s="291"/>
      <c r="J135" s="290"/>
      <c r="K135" s="290"/>
      <c r="L135" s="290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</row>
    <row r="136" spans="1:28" s="141" customFormat="1" ht="28.5" hidden="1" customHeight="1" x14ac:dyDescent="0.25">
      <c r="A136" s="177" t="s">
        <v>42</v>
      </c>
      <c r="B136" s="289" t="s">
        <v>43</v>
      </c>
      <c r="C136" s="289" t="s">
        <v>144</v>
      </c>
      <c r="D136" s="289" t="s">
        <v>44</v>
      </c>
      <c r="E136" s="289" t="s">
        <v>45</v>
      </c>
      <c r="F136" s="379" t="s">
        <v>53</v>
      </c>
      <c r="G136" s="380"/>
      <c r="H136" s="148"/>
      <c r="I136" s="171"/>
      <c r="J136" s="290"/>
      <c r="K136" s="290"/>
      <c r="L136" s="290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</row>
    <row r="137" spans="1:28" s="141" customFormat="1" ht="27" hidden="1" x14ac:dyDescent="0.25">
      <c r="A137" s="178">
        <v>1</v>
      </c>
      <c r="B137" s="173" t="s">
        <v>225</v>
      </c>
      <c r="C137" s="150">
        <v>1</v>
      </c>
      <c r="D137" s="151">
        <v>4819.72</v>
      </c>
      <c r="E137" s="151">
        <v>4819.72</v>
      </c>
      <c r="F137" s="368">
        <v>57836.639999999999</v>
      </c>
      <c r="G137" s="369"/>
      <c r="H137" s="152"/>
      <c r="I137" s="219"/>
      <c r="J137" s="294"/>
      <c r="K137" s="220">
        <v>1</v>
      </c>
      <c r="L137" s="153">
        <f>K137*D137</f>
        <v>4819.72</v>
      </c>
      <c r="M137" s="144"/>
      <c r="N137" s="144"/>
      <c r="O137" s="144"/>
      <c r="P137" s="221">
        <v>4659.7</v>
      </c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</row>
    <row r="138" spans="1:28" s="141" customFormat="1" ht="27" hidden="1" x14ac:dyDescent="0.25">
      <c r="A138" s="178">
        <v>2</v>
      </c>
      <c r="B138" s="173" t="s">
        <v>226</v>
      </c>
      <c r="C138" s="273">
        <v>10</v>
      </c>
      <c r="D138" s="151">
        <v>8528.92</v>
      </c>
      <c r="E138" s="272">
        <v>85289.2</v>
      </c>
      <c r="F138" s="368">
        <v>1023470.4</v>
      </c>
      <c r="G138" s="369"/>
      <c r="H138" s="152"/>
      <c r="I138" s="219"/>
      <c r="J138" s="294"/>
      <c r="K138" s="220">
        <v>6</v>
      </c>
      <c r="L138" s="153">
        <f t="shared" ref="L138:L146" si="3">K138*D138</f>
        <v>51173.520000000004</v>
      </c>
      <c r="M138" s="144"/>
      <c r="N138" s="144"/>
      <c r="O138" s="144"/>
      <c r="P138" s="221">
        <v>49536.36</v>
      </c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</row>
    <row r="139" spans="1:28" s="141" customFormat="1" ht="27" hidden="1" x14ac:dyDescent="0.25">
      <c r="A139" s="178">
        <v>3</v>
      </c>
      <c r="B139" s="173" t="s">
        <v>227</v>
      </c>
      <c r="C139" s="273">
        <v>10</v>
      </c>
      <c r="D139" s="151">
        <v>10460.24</v>
      </c>
      <c r="E139" s="272">
        <v>104602.4</v>
      </c>
      <c r="F139" s="368">
        <v>1255228.8</v>
      </c>
      <c r="G139" s="369"/>
      <c r="H139" s="152"/>
      <c r="I139" s="219"/>
      <c r="J139" s="294"/>
      <c r="K139" s="220">
        <v>6</v>
      </c>
      <c r="L139" s="153">
        <f t="shared" si="3"/>
        <v>62761.440000000002</v>
      </c>
      <c r="M139" s="144"/>
      <c r="N139" s="144"/>
      <c r="O139" s="144"/>
      <c r="P139" s="221">
        <v>60780.240000000005</v>
      </c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</row>
    <row r="140" spans="1:28" s="141" customFormat="1" ht="27" hidden="1" x14ac:dyDescent="0.25">
      <c r="A140" s="299">
        <v>4</v>
      </c>
      <c r="B140" s="298" t="s">
        <v>228</v>
      </c>
      <c r="C140" s="273">
        <v>2</v>
      </c>
      <c r="D140" s="257">
        <v>8561.08</v>
      </c>
      <c r="E140" s="257">
        <v>17122.16</v>
      </c>
      <c r="F140" s="381">
        <v>205465.92</v>
      </c>
      <c r="G140" s="382"/>
      <c r="H140" s="152"/>
      <c r="I140" s="219"/>
      <c r="J140" s="294"/>
      <c r="K140" s="220">
        <v>6</v>
      </c>
      <c r="L140" s="153">
        <f t="shared" si="3"/>
        <v>51366.479999999996</v>
      </c>
      <c r="M140" s="144"/>
      <c r="N140" s="144"/>
      <c r="O140" s="144"/>
      <c r="P140" s="221">
        <v>49729.319999999992</v>
      </c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</row>
    <row r="141" spans="1:28" s="141" customFormat="1" ht="27" hidden="1" x14ac:dyDescent="0.25">
      <c r="A141" s="299">
        <v>5</v>
      </c>
      <c r="B141" s="298" t="s">
        <v>229</v>
      </c>
      <c r="C141" s="273">
        <v>2</v>
      </c>
      <c r="D141" s="257">
        <v>10492.42</v>
      </c>
      <c r="E141" s="257">
        <v>20984.84</v>
      </c>
      <c r="F141" s="381">
        <v>251818.08</v>
      </c>
      <c r="G141" s="382"/>
      <c r="H141" s="152"/>
      <c r="I141" s="219"/>
      <c r="J141" s="294"/>
      <c r="K141" s="220">
        <v>6</v>
      </c>
      <c r="L141" s="153">
        <f t="shared" si="3"/>
        <v>62954.520000000004</v>
      </c>
      <c r="M141" s="144"/>
      <c r="N141" s="144"/>
      <c r="O141" s="144"/>
      <c r="P141" s="221">
        <v>60973.200000000004</v>
      </c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</row>
    <row r="142" spans="1:28" s="141" customFormat="1" ht="27" hidden="1" x14ac:dyDescent="0.25">
      <c r="A142" s="178">
        <v>6</v>
      </c>
      <c r="B142" s="173" t="s">
        <v>230</v>
      </c>
      <c r="C142" s="285">
        <v>0</v>
      </c>
      <c r="D142" s="151">
        <v>8352.44</v>
      </c>
      <c r="E142" s="272">
        <v>0</v>
      </c>
      <c r="F142" s="368">
        <v>0</v>
      </c>
      <c r="G142" s="369"/>
      <c r="H142" s="152"/>
      <c r="I142" s="219"/>
      <c r="J142" s="294"/>
      <c r="K142" s="220">
        <v>1</v>
      </c>
      <c r="L142" s="153">
        <f t="shared" si="3"/>
        <v>8352.44</v>
      </c>
      <c r="M142" s="144"/>
      <c r="N142" s="144"/>
      <c r="O142" s="144"/>
      <c r="P142" s="221">
        <v>8088.68</v>
      </c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</row>
    <row r="143" spans="1:28" s="141" customFormat="1" ht="27" hidden="1" x14ac:dyDescent="0.25">
      <c r="A143" s="178">
        <v>7</v>
      </c>
      <c r="B143" s="173" t="s">
        <v>231</v>
      </c>
      <c r="C143" s="285">
        <v>2</v>
      </c>
      <c r="D143" s="151">
        <v>3878.85</v>
      </c>
      <c r="E143" s="272">
        <v>7757.7</v>
      </c>
      <c r="F143" s="368">
        <v>93092.4</v>
      </c>
      <c r="G143" s="369"/>
      <c r="H143" s="152"/>
      <c r="I143" s="219"/>
      <c r="J143" s="294"/>
      <c r="K143" s="220">
        <v>2</v>
      </c>
      <c r="L143" s="153">
        <f t="shared" si="3"/>
        <v>7757.7</v>
      </c>
      <c r="M143" s="144"/>
      <c r="N143" s="144">
        <v>3747.41</v>
      </c>
      <c r="O143" s="144"/>
      <c r="P143" s="221">
        <f>K143*N143</f>
        <v>7494.82</v>
      </c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</row>
    <row r="144" spans="1:28" s="141" customFormat="1" ht="27" hidden="1" x14ac:dyDescent="0.25">
      <c r="A144" s="178">
        <v>8</v>
      </c>
      <c r="B144" s="173" t="s">
        <v>232</v>
      </c>
      <c r="C144" s="285">
        <v>1</v>
      </c>
      <c r="D144" s="151">
        <v>4844.55</v>
      </c>
      <c r="E144" s="272">
        <v>4844.55</v>
      </c>
      <c r="F144" s="368">
        <v>58134.6</v>
      </c>
      <c r="G144" s="369"/>
      <c r="H144" s="152"/>
      <c r="I144" s="219"/>
      <c r="J144" s="294"/>
      <c r="K144" s="220">
        <v>2</v>
      </c>
      <c r="L144" s="153">
        <f t="shared" si="3"/>
        <v>9689.1</v>
      </c>
      <c r="M144" s="144"/>
      <c r="N144" s="144">
        <v>4684.4399999999996</v>
      </c>
      <c r="O144" s="144"/>
      <c r="P144" s="221">
        <f>K144*N144</f>
        <v>9368.8799999999992</v>
      </c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</row>
    <row r="145" spans="1:28" s="141" customFormat="1" ht="27" hidden="1" x14ac:dyDescent="0.25">
      <c r="A145" s="178">
        <v>9</v>
      </c>
      <c r="B145" s="174" t="s">
        <v>235</v>
      </c>
      <c r="C145" s="285">
        <v>8</v>
      </c>
      <c r="D145" s="151">
        <v>8528.92</v>
      </c>
      <c r="E145" s="272">
        <v>68231.360000000001</v>
      </c>
      <c r="F145" s="368">
        <v>818776.32</v>
      </c>
      <c r="G145" s="369"/>
      <c r="H145" s="370" t="s">
        <v>219</v>
      </c>
      <c r="I145" s="219"/>
      <c r="J145" s="294"/>
      <c r="K145" s="153">
        <v>9</v>
      </c>
      <c r="L145" s="153">
        <f t="shared" si="3"/>
        <v>76760.28</v>
      </c>
      <c r="M145" s="144"/>
      <c r="N145" s="144"/>
      <c r="O145" s="144"/>
      <c r="P145" s="221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</row>
    <row r="146" spans="1:28" s="141" customFormat="1" ht="27" hidden="1" x14ac:dyDescent="0.25">
      <c r="A146" s="178">
        <v>10</v>
      </c>
      <c r="B146" s="174" t="s">
        <v>236</v>
      </c>
      <c r="C146" s="285">
        <v>10</v>
      </c>
      <c r="D146" s="151">
        <v>10460.24</v>
      </c>
      <c r="E146" s="272">
        <v>104602.4</v>
      </c>
      <c r="F146" s="368">
        <v>1255228.8</v>
      </c>
      <c r="G146" s="369"/>
      <c r="H146" s="370"/>
      <c r="I146" s="219"/>
      <c r="J146" s="294"/>
      <c r="K146" s="153">
        <v>11</v>
      </c>
      <c r="L146" s="153">
        <f t="shared" si="3"/>
        <v>115062.64</v>
      </c>
      <c r="M146" s="144"/>
      <c r="N146" s="144"/>
      <c r="O146" s="144"/>
      <c r="P146" s="221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</row>
    <row r="147" spans="1:28" s="141" customFormat="1" ht="27" hidden="1" x14ac:dyDescent="0.25">
      <c r="A147" s="178">
        <v>11</v>
      </c>
      <c r="B147" s="174" t="s">
        <v>237</v>
      </c>
      <c r="C147" s="285">
        <v>6</v>
      </c>
      <c r="D147" s="151">
        <v>8561.08</v>
      </c>
      <c r="E147" s="272">
        <v>51366.48</v>
      </c>
      <c r="F147" s="368">
        <v>616397.76</v>
      </c>
      <c r="G147" s="369"/>
      <c r="H147" s="370"/>
      <c r="I147" s="219"/>
      <c r="J147" s="294"/>
      <c r="K147" s="220">
        <v>8</v>
      </c>
      <c r="L147" s="153">
        <f>K147*D147</f>
        <v>68488.639999999999</v>
      </c>
      <c r="M147" s="144"/>
      <c r="N147" s="144"/>
      <c r="O147" s="144"/>
      <c r="P147" s="221">
        <v>16576.439999999999</v>
      </c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</row>
    <row r="148" spans="1:28" s="141" customFormat="1" ht="27" hidden="1" x14ac:dyDescent="0.25">
      <c r="A148" s="178">
        <v>12</v>
      </c>
      <c r="B148" s="174" t="s">
        <v>238</v>
      </c>
      <c r="C148" s="285">
        <v>5</v>
      </c>
      <c r="D148" s="151">
        <v>10492.42</v>
      </c>
      <c r="E148" s="151">
        <v>52462.1</v>
      </c>
      <c r="F148" s="368">
        <v>629545.19999999995</v>
      </c>
      <c r="G148" s="369"/>
      <c r="H148" s="370"/>
      <c r="I148" s="219"/>
      <c r="J148" s="294"/>
      <c r="K148" s="220">
        <v>8</v>
      </c>
      <c r="L148" s="153">
        <f>K148*D148</f>
        <v>83939.36</v>
      </c>
      <c r="M148" s="144"/>
      <c r="N148" s="144"/>
      <c r="O148" s="144"/>
      <c r="P148" s="221">
        <v>20324.400000000001</v>
      </c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</row>
    <row r="149" spans="1:28" s="141" customFormat="1" hidden="1" x14ac:dyDescent="0.25">
      <c r="A149" s="371"/>
      <c r="B149" s="372"/>
      <c r="C149" s="150">
        <v>57</v>
      </c>
      <c r="D149" s="373"/>
      <c r="E149" s="374"/>
      <c r="F149" s="374"/>
      <c r="G149" s="375"/>
      <c r="H149" s="152"/>
      <c r="I149" s="219"/>
      <c r="J149" s="222"/>
      <c r="K149" s="223">
        <f>SUM(K137:K148)</f>
        <v>66</v>
      </c>
      <c r="L149" s="153">
        <f>SUM(L137:L148)</f>
        <v>603125.84000000008</v>
      </c>
      <c r="M149" s="144"/>
      <c r="N149" s="144"/>
      <c r="O149" s="144"/>
      <c r="P149" s="221">
        <f>SUM(P137:P148)</f>
        <v>287532.04000000004</v>
      </c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</row>
    <row r="150" spans="1:28" s="141" customFormat="1" ht="13.5" hidden="1" customHeight="1" x14ac:dyDescent="0.25">
      <c r="A150" s="350" t="s">
        <v>54</v>
      </c>
      <c r="B150" s="351"/>
      <c r="C150" s="351"/>
      <c r="D150" s="351"/>
      <c r="E150" s="258">
        <v>522082.91</v>
      </c>
      <c r="F150" s="352">
        <v>6264994.9199999999</v>
      </c>
      <c r="G150" s="353"/>
      <c r="H150" s="154">
        <f>E150-E57</f>
        <v>522082.91</v>
      </c>
      <c r="I150" s="155"/>
      <c r="J150" s="190"/>
      <c r="K150" s="190"/>
      <c r="L150" s="258">
        <f>ROUND(SUM(L137:L148),2)</f>
        <v>603125.84</v>
      </c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</row>
    <row r="151" spans="1:28" s="141" customFormat="1" ht="13.5" hidden="1" customHeight="1" x14ac:dyDescent="0.25">
      <c r="A151" s="354"/>
      <c r="B151" s="355"/>
      <c r="C151" s="355"/>
      <c r="D151" s="355"/>
      <c r="E151" s="355"/>
      <c r="F151" s="355"/>
      <c r="G151" s="356"/>
      <c r="H151" s="154"/>
      <c r="I151" s="155"/>
      <c r="J151" s="190"/>
      <c r="K151" s="190"/>
      <c r="L151" s="190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</row>
    <row r="152" spans="1:28" s="141" customFormat="1" ht="13.5" hidden="1" customHeight="1" x14ac:dyDescent="0.25">
      <c r="A152" s="350" t="s">
        <v>264</v>
      </c>
      <c r="B152" s="351"/>
      <c r="C152" s="351"/>
      <c r="D152" s="351"/>
      <c r="E152" s="351"/>
      <c r="F152" s="351"/>
      <c r="G152" s="357"/>
      <c r="H152" s="154"/>
      <c r="I152" s="155"/>
      <c r="J152" s="190"/>
      <c r="K152" s="190"/>
      <c r="L152" s="190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</row>
    <row r="153" spans="1:28" s="141" customFormat="1" ht="13.5" hidden="1" customHeight="1" x14ac:dyDescent="0.25">
      <c r="A153" s="358" t="s">
        <v>265</v>
      </c>
      <c r="B153" s="359"/>
      <c r="C153" s="359"/>
      <c r="D153" s="359"/>
      <c r="E153" s="360">
        <v>522082.91</v>
      </c>
      <c r="F153" s="360"/>
      <c r="G153" s="361"/>
      <c r="H153" s="154"/>
      <c r="I153" s="155"/>
      <c r="J153" s="190"/>
      <c r="K153" s="190"/>
      <c r="L153" s="190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</row>
    <row r="154" spans="1:28" s="141" customFormat="1" ht="13.5" hidden="1" customHeight="1" x14ac:dyDescent="0.25">
      <c r="A154" s="358" t="s">
        <v>266</v>
      </c>
      <c r="B154" s="359"/>
      <c r="C154" s="359"/>
      <c r="D154" s="359"/>
      <c r="E154" s="362">
        <v>12</v>
      </c>
      <c r="F154" s="362"/>
      <c r="G154" s="363"/>
      <c r="H154" s="154"/>
      <c r="I154" s="155"/>
      <c r="J154" s="190"/>
      <c r="K154" s="190"/>
      <c r="L154" s="190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</row>
    <row r="155" spans="1:28" s="141" customFormat="1" ht="13.5" hidden="1" customHeight="1" x14ac:dyDescent="0.25">
      <c r="A155" s="364" t="s">
        <v>267</v>
      </c>
      <c r="B155" s="365"/>
      <c r="C155" s="365"/>
      <c r="D155" s="365"/>
      <c r="E155" s="366">
        <v>6264994.9199999999</v>
      </c>
      <c r="F155" s="366"/>
      <c r="G155" s="367"/>
      <c r="H155" s="154"/>
      <c r="I155" s="155"/>
      <c r="J155" s="190"/>
      <c r="K155" s="190"/>
      <c r="L155" s="190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</row>
    <row r="156" spans="1:28" s="141" customFormat="1" ht="23.25" hidden="1" customHeight="1" x14ac:dyDescent="0.25">
      <c r="A156" s="399"/>
      <c r="B156" s="400"/>
      <c r="C156" s="400"/>
      <c r="D156" s="400"/>
      <c r="E156" s="400"/>
      <c r="F156" s="400"/>
      <c r="G156" s="401"/>
      <c r="H156" s="157"/>
      <c r="I156" s="292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</row>
    <row r="157" spans="1:28" s="141" customFormat="1" ht="21.75" hidden="1" customHeight="1" x14ac:dyDescent="0.25">
      <c r="A157" s="391" t="s">
        <v>329</v>
      </c>
      <c r="B157" s="392"/>
      <c r="C157" s="392"/>
      <c r="D157" s="392"/>
      <c r="E157" s="392"/>
      <c r="F157" s="392"/>
      <c r="G157" s="393"/>
      <c r="H157" s="296"/>
      <c r="I157" s="296"/>
      <c r="J157" s="297"/>
      <c r="K157" s="297"/>
      <c r="L157" s="297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</row>
    <row r="158" spans="1:28" s="141" customFormat="1" ht="28.5" hidden="1" customHeight="1" x14ac:dyDescent="0.25">
      <c r="A158" s="177" t="s">
        <v>42</v>
      </c>
      <c r="B158" s="295" t="s">
        <v>43</v>
      </c>
      <c r="C158" s="295" t="s">
        <v>144</v>
      </c>
      <c r="D158" s="295" t="s">
        <v>44</v>
      </c>
      <c r="E158" s="295" t="s">
        <v>45</v>
      </c>
      <c r="F158" s="379" t="s">
        <v>53</v>
      </c>
      <c r="G158" s="380"/>
      <c r="H158" s="148"/>
      <c r="I158" s="171"/>
      <c r="J158" s="297"/>
      <c r="K158" s="297"/>
      <c r="L158" s="297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</row>
    <row r="159" spans="1:28" s="141" customFormat="1" ht="27" hidden="1" x14ac:dyDescent="0.25">
      <c r="A159" s="178">
        <v>1</v>
      </c>
      <c r="B159" s="173" t="s">
        <v>225</v>
      </c>
      <c r="C159" s="150">
        <v>1</v>
      </c>
      <c r="D159" s="151">
        <v>4819.72</v>
      </c>
      <c r="E159" s="151">
        <v>4819.72</v>
      </c>
      <c r="F159" s="368">
        <v>57836.639999999999</v>
      </c>
      <c r="G159" s="369"/>
      <c r="H159" s="152"/>
      <c r="I159" s="219"/>
      <c r="J159" s="294"/>
      <c r="K159" s="220">
        <v>1</v>
      </c>
      <c r="L159" s="153">
        <f>K159*D159</f>
        <v>4819.72</v>
      </c>
      <c r="M159" s="144"/>
      <c r="N159" s="144"/>
      <c r="O159" s="144"/>
      <c r="P159" s="221">
        <v>4659.7</v>
      </c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</row>
    <row r="160" spans="1:28" s="141" customFormat="1" ht="27" hidden="1" x14ac:dyDescent="0.25">
      <c r="A160" s="178">
        <v>2</v>
      </c>
      <c r="B160" s="173" t="s">
        <v>226</v>
      </c>
      <c r="C160" s="273">
        <v>11</v>
      </c>
      <c r="D160" s="151">
        <v>8528.92</v>
      </c>
      <c r="E160" s="272">
        <v>93818.12</v>
      </c>
      <c r="F160" s="368">
        <v>1125817.44</v>
      </c>
      <c r="G160" s="369"/>
      <c r="H160" s="152"/>
      <c r="I160" s="219"/>
      <c r="J160" s="294"/>
      <c r="K160" s="220">
        <v>6</v>
      </c>
      <c r="L160" s="153">
        <f t="shared" ref="L160:L168" si="4">K160*D160</f>
        <v>51173.520000000004</v>
      </c>
      <c r="M160" s="144"/>
      <c r="N160" s="144"/>
      <c r="O160" s="144"/>
      <c r="P160" s="221">
        <v>49536.36</v>
      </c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</row>
    <row r="161" spans="1:28" s="141" customFormat="1" ht="27" hidden="1" x14ac:dyDescent="0.25">
      <c r="A161" s="307">
        <v>3</v>
      </c>
      <c r="B161" s="308" t="s">
        <v>227</v>
      </c>
      <c r="C161" s="285">
        <v>10</v>
      </c>
      <c r="D161" s="272">
        <v>10460.24</v>
      </c>
      <c r="E161" s="272">
        <v>104602.4</v>
      </c>
      <c r="F161" s="394">
        <v>1255228.8</v>
      </c>
      <c r="G161" s="395"/>
      <c r="H161" s="152"/>
      <c r="I161" s="219"/>
      <c r="J161" s="294"/>
      <c r="K161" s="220">
        <v>6</v>
      </c>
      <c r="L161" s="153">
        <f t="shared" si="4"/>
        <v>62761.440000000002</v>
      </c>
      <c r="M161" s="144"/>
      <c r="N161" s="144"/>
      <c r="O161" s="144"/>
      <c r="P161" s="221">
        <v>60780.240000000005</v>
      </c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</row>
    <row r="162" spans="1:28" s="141" customFormat="1" ht="27" hidden="1" x14ac:dyDescent="0.25">
      <c r="A162" s="307">
        <v>4</v>
      </c>
      <c r="B162" s="308" t="s">
        <v>228</v>
      </c>
      <c r="C162" s="273">
        <v>3</v>
      </c>
      <c r="D162" s="272">
        <v>8561.08</v>
      </c>
      <c r="E162" s="272">
        <v>25683.24</v>
      </c>
      <c r="F162" s="394">
        <v>308198.88</v>
      </c>
      <c r="G162" s="395"/>
      <c r="H162" s="152"/>
      <c r="I162" s="219"/>
      <c r="J162" s="294"/>
      <c r="K162" s="220">
        <v>6</v>
      </c>
      <c r="L162" s="153">
        <f t="shared" si="4"/>
        <v>51366.479999999996</v>
      </c>
      <c r="M162" s="144"/>
      <c r="N162" s="144"/>
      <c r="O162" s="144"/>
      <c r="P162" s="221">
        <v>49729.319999999992</v>
      </c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</row>
    <row r="163" spans="1:28" s="141" customFormat="1" ht="27" hidden="1" x14ac:dyDescent="0.25">
      <c r="A163" s="307">
        <v>5</v>
      </c>
      <c r="B163" s="308" t="s">
        <v>229</v>
      </c>
      <c r="C163" s="285">
        <v>2</v>
      </c>
      <c r="D163" s="272">
        <v>10492.42</v>
      </c>
      <c r="E163" s="272">
        <v>20984.84</v>
      </c>
      <c r="F163" s="394">
        <v>251818.08</v>
      </c>
      <c r="G163" s="395"/>
      <c r="H163" s="152"/>
      <c r="I163" s="219"/>
      <c r="J163" s="294"/>
      <c r="K163" s="220">
        <v>6</v>
      </c>
      <c r="L163" s="153">
        <f t="shared" si="4"/>
        <v>62954.520000000004</v>
      </c>
      <c r="M163" s="144"/>
      <c r="N163" s="144"/>
      <c r="O163" s="144"/>
      <c r="P163" s="221">
        <v>60973.200000000004</v>
      </c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</row>
    <row r="164" spans="1:28" s="141" customFormat="1" ht="27" hidden="1" x14ac:dyDescent="0.25">
      <c r="A164" s="178">
        <v>6</v>
      </c>
      <c r="B164" s="173" t="s">
        <v>230</v>
      </c>
      <c r="C164" s="285">
        <v>0</v>
      </c>
      <c r="D164" s="151">
        <v>8352.44</v>
      </c>
      <c r="E164" s="272">
        <v>0</v>
      </c>
      <c r="F164" s="368">
        <v>0</v>
      </c>
      <c r="G164" s="369"/>
      <c r="H164" s="152"/>
      <c r="I164" s="219"/>
      <c r="J164" s="294"/>
      <c r="K164" s="220">
        <v>1</v>
      </c>
      <c r="L164" s="153">
        <f t="shared" si="4"/>
        <v>8352.44</v>
      </c>
      <c r="M164" s="144"/>
      <c r="N164" s="144"/>
      <c r="O164" s="144"/>
      <c r="P164" s="221">
        <v>8088.68</v>
      </c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</row>
    <row r="165" spans="1:28" s="141" customFormat="1" ht="27" hidden="1" x14ac:dyDescent="0.25">
      <c r="A165" s="178">
        <v>7</v>
      </c>
      <c r="B165" s="173" t="s">
        <v>231</v>
      </c>
      <c r="C165" s="285">
        <v>2</v>
      </c>
      <c r="D165" s="151">
        <v>3878.85</v>
      </c>
      <c r="E165" s="272">
        <v>7757.7</v>
      </c>
      <c r="F165" s="368">
        <v>93092.4</v>
      </c>
      <c r="G165" s="369"/>
      <c r="H165" s="152"/>
      <c r="I165" s="219"/>
      <c r="J165" s="294"/>
      <c r="K165" s="220">
        <v>2</v>
      </c>
      <c r="L165" s="153">
        <f t="shared" si="4"/>
        <v>7757.7</v>
      </c>
      <c r="M165" s="144"/>
      <c r="N165" s="144">
        <v>3747.41</v>
      </c>
      <c r="O165" s="144"/>
      <c r="P165" s="221">
        <f>K165*N165</f>
        <v>7494.82</v>
      </c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</row>
    <row r="166" spans="1:28" s="141" customFormat="1" ht="27" hidden="1" x14ac:dyDescent="0.25">
      <c r="A166" s="178">
        <v>8</v>
      </c>
      <c r="B166" s="173" t="s">
        <v>232</v>
      </c>
      <c r="C166" s="285">
        <v>1</v>
      </c>
      <c r="D166" s="151">
        <v>4844.55</v>
      </c>
      <c r="E166" s="272">
        <v>4844.55</v>
      </c>
      <c r="F166" s="368">
        <v>58134.6</v>
      </c>
      <c r="G166" s="369"/>
      <c r="H166" s="152"/>
      <c r="I166" s="219"/>
      <c r="J166" s="294"/>
      <c r="K166" s="220">
        <v>2</v>
      </c>
      <c r="L166" s="153">
        <f t="shared" si="4"/>
        <v>9689.1</v>
      </c>
      <c r="M166" s="144"/>
      <c r="N166" s="144">
        <v>4684.4399999999996</v>
      </c>
      <c r="O166" s="144"/>
      <c r="P166" s="221">
        <f>K166*N166</f>
        <v>9368.8799999999992</v>
      </c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</row>
    <row r="167" spans="1:28" s="141" customFormat="1" ht="27" hidden="1" x14ac:dyDescent="0.25">
      <c r="A167" s="178">
        <v>9</v>
      </c>
      <c r="B167" s="174" t="s">
        <v>235</v>
      </c>
      <c r="C167" s="285">
        <v>8</v>
      </c>
      <c r="D167" s="151">
        <v>8528.92</v>
      </c>
      <c r="E167" s="272">
        <v>68231.360000000001</v>
      </c>
      <c r="F167" s="368">
        <v>818776.32</v>
      </c>
      <c r="G167" s="369"/>
      <c r="H167" s="370" t="s">
        <v>219</v>
      </c>
      <c r="I167" s="219"/>
      <c r="J167" s="294"/>
      <c r="K167" s="153">
        <v>9</v>
      </c>
      <c r="L167" s="153">
        <f t="shared" si="4"/>
        <v>76760.28</v>
      </c>
      <c r="M167" s="144"/>
      <c r="N167" s="144"/>
      <c r="O167" s="144"/>
      <c r="P167" s="221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</row>
    <row r="168" spans="1:28" s="141" customFormat="1" ht="27" hidden="1" x14ac:dyDescent="0.25">
      <c r="A168" s="178">
        <v>10</v>
      </c>
      <c r="B168" s="174" t="s">
        <v>236</v>
      </c>
      <c r="C168" s="285">
        <v>10</v>
      </c>
      <c r="D168" s="151">
        <v>10460.24</v>
      </c>
      <c r="E168" s="272">
        <v>104602.4</v>
      </c>
      <c r="F168" s="368">
        <v>1255228.8</v>
      </c>
      <c r="G168" s="369"/>
      <c r="H168" s="370"/>
      <c r="I168" s="219"/>
      <c r="J168" s="294"/>
      <c r="K168" s="153">
        <v>11</v>
      </c>
      <c r="L168" s="153">
        <f t="shared" si="4"/>
        <v>115062.64</v>
      </c>
      <c r="M168" s="144"/>
      <c r="N168" s="144"/>
      <c r="O168" s="144"/>
      <c r="P168" s="221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</row>
    <row r="169" spans="1:28" s="141" customFormat="1" ht="27" hidden="1" x14ac:dyDescent="0.25">
      <c r="A169" s="178">
        <v>11</v>
      </c>
      <c r="B169" s="174" t="s">
        <v>237</v>
      </c>
      <c r="C169" s="285">
        <v>6</v>
      </c>
      <c r="D169" s="151">
        <v>8561.08</v>
      </c>
      <c r="E169" s="272">
        <v>51366.48</v>
      </c>
      <c r="F169" s="368">
        <v>616397.76</v>
      </c>
      <c r="G169" s="369"/>
      <c r="H169" s="370"/>
      <c r="I169" s="219"/>
      <c r="J169" s="294"/>
      <c r="K169" s="220">
        <v>8</v>
      </c>
      <c r="L169" s="153">
        <f>K169*D169</f>
        <v>68488.639999999999</v>
      </c>
      <c r="M169" s="144"/>
      <c r="N169" s="144"/>
      <c r="O169" s="144"/>
      <c r="P169" s="221">
        <v>16576.439999999999</v>
      </c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</row>
    <row r="170" spans="1:28" s="141" customFormat="1" ht="27" hidden="1" x14ac:dyDescent="0.25">
      <c r="A170" s="178">
        <v>12</v>
      </c>
      <c r="B170" s="174" t="s">
        <v>238</v>
      </c>
      <c r="C170" s="285">
        <v>5</v>
      </c>
      <c r="D170" s="151">
        <v>10492.42</v>
      </c>
      <c r="E170" s="151">
        <v>52462.1</v>
      </c>
      <c r="F170" s="368">
        <v>629545.19999999995</v>
      </c>
      <c r="G170" s="369"/>
      <c r="H170" s="370"/>
      <c r="I170" s="219"/>
      <c r="J170" s="294"/>
      <c r="K170" s="220">
        <v>8</v>
      </c>
      <c r="L170" s="153">
        <f>K170*D170</f>
        <v>83939.36</v>
      </c>
      <c r="M170" s="144"/>
      <c r="N170" s="144"/>
      <c r="O170" s="144"/>
      <c r="P170" s="221">
        <v>20324.400000000001</v>
      </c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</row>
    <row r="171" spans="1:28" s="141" customFormat="1" hidden="1" x14ac:dyDescent="0.25">
      <c r="A171" s="371"/>
      <c r="B171" s="372"/>
      <c r="C171" s="150">
        <v>59</v>
      </c>
      <c r="D171" s="373"/>
      <c r="E171" s="374"/>
      <c r="F171" s="374"/>
      <c r="G171" s="375"/>
      <c r="H171" s="152"/>
      <c r="I171" s="219"/>
      <c r="J171" s="222"/>
      <c r="K171" s="223">
        <f>SUM(K159:K170)</f>
        <v>66</v>
      </c>
      <c r="L171" s="153">
        <f>SUM(L159:L170)</f>
        <v>603125.84000000008</v>
      </c>
      <c r="M171" s="144"/>
      <c r="N171" s="144"/>
      <c r="O171" s="144"/>
      <c r="P171" s="221">
        <f>SUM(P159:P170)</f>
        <v>287532.04000000004</v>
      </c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</row>
    <row r="172" spans="1:28" s="141" customFormat="1" ht="13.5" hidden="1" customHeight="1" x14ac:dyDescent="0.25">
      <c r="A172" s="350" t="s">
        <v>54</v>
      </c>
      <c r="B172" s="351"/>
      <c r="C172" s="351"/>
      <c r="D172" s="351"/>
      <c r="E172" s="258">
        <v>539172.91</v>
      </c>
      <c r="F172" s="352">
        <v>6470074.9199999999</v>
      </c>
      <c r="G172" s="353"/>
      <c r="H172" s="154"/>
      <c r="I172" s="155"/>
      <c r="J172" s="190"/>
      <c r="K172" s="190"/>
      <c r="L172" s="258">
        <f>ROUND(SUM(L159:L170),2)</f>
        <v>603125.84</v>
      </c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</row>
    <row r="173" spans="1:28" s="141" customFormat="1" ht="13.5" hidden="1" customHeight="1" x14ac:dyDescent="0.25">
      <c r="A173" s="354"/>
      <c r="B173" s="355"/>
      <c r="C173" s="355"/>
      <c r="D173" s="355"/>
      <c r="E173" s="355"/>
      <c r="F173" s="355"/>
      <c r="G173" s="356"/>
      <c r="H173" s="154"/>
      <c r="I173" s="155"/>
      <c r="J173" s="190"/>
      <c r="K173" s="190"/>
      <c r="L173" s="190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</row>
    <row r="174" spans="1:28" s="141" customFormat="1" ht="12" hidden="1" customHeight="1" x14ac:dyDescent="0.25">
      <c r="A174" s="383" t="s">
        <v>321</v>
      </c>
      <c r="B174" s="384"/>
      <c r="C174" s="384"/>
      <c r="D174" s="384"/>
      <c r="E174" s="384"/>
      <c r="F174" s="384"/>
      <c r="G174" s="385"/>
      <c r="H174" s="312"/>
      <c r="I174" s="155"/>
      <c r="J174" s="190"/>
      <c r="K174" s="190"/>
      <c r="L174" s="190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</row>
    <row r="175" spans="1:28" s="141" customFormat="1" ht="21.75" customHeight="1" x14ac:dyDescent="0.25">
      <c r="A175" s="388" t="s">
        <v>326</v>
      </c>
      <c r="B175" s="389"/>
      <c r="C175" s="389"/>
      <c r="D175" s="389"/>
      <c r="E175" s="389"/>
      <c r="F175" s="389"/>
      <c r="G175" s="390"/>
      <c r="H175" s="304"/>
      <c r="I175" s="304"/>
      <c r="J175" s="303"/>
      <c r="K175" s="303"/>
      <c r="L175" s="303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</row>
    <row r="176" spans="1:28" s="141" customFormat="1" ht="28.5" customHeight="1" x14ac:dyDescent="0.25">
      <c r="A176" s="177" t="s">
        <v>42</v>
      </c>
      <c r="B176" s="301" t="s">
        <v>43</v>
      </c>
      <c r="C176" s="301" t="s">
        <v>144</v>
      </c>
      <c r="D176" s="301" t="s">
        <v>44</v>
      </c>
      <c r="E176" s="301" t="s">
        <v>45</v>
      </c>
      <c r="F176" s="379" t="s">
        <v>53</v>
      </c>
      <c r="G176" s="380"/>
      <c r="H176" s="148"/>
      <c r="I176" s="171"/>
      <c r="J176" s="303"/>
      <c r="K176" s="303"/>
      <c r="L176" s="303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</row>
    <row r="177" spans="1:28" s="141" customFormat="1" ht="27" x14ac:dyDescent="0.25">
      <c r="A177" s="178">
        <v>1</v>
      </c>
      <c r="B177" s="173" t="s">
        <v>225</v>
      </c>
      <c r="C177" s="150">
        <v>1</v>
      </c>
      <c r="D177" s="151">
        <v>4819.72</v>
      </c>
      <c r="E177" s="151">
        <v>4819.72</v>
      </c>
      <c r="F177" s="368">
        <v>57836.639999999999</v>
      </c>
      <c r="G177" s="369"/>
      <c r="H177" s="152"/>
      <c r="I177" s="219"/>
      <c r="J177" s="294"/>
      <c r="K177" s="220">
        <v>1</v>
      </c>
      <c r="L177" s="153">
        <v>4819.72</v>
      </c>
      <c r="M177" s="144"/>
      <c r="N177" s="144"/>
      <c r="O177" s="144"/>
      <c r="P177" s="221">
        <v>4659.7</v>
      </c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</row>
    <row r="178" spans="1:28" s="141" customFormat="1" ht="27" x14ac:dyDescent="0.25">
      <c r="A178" s="178">
        <v>2</v>
      </c>
      <c r="B178" s="173" t="s">
        <v>226</v>
      </c>
      <c r="C178" s="273">
        <v>11</v>
      </c>
      <c r="D178" s="151">
        <v>8528.92</v>
      </c>
      <c r="E178" s="309">
        <v>93818.12</v>
      </c>
      <c r="F178" s="368">
        <v>1125817.44</v>
      </c>
      <c r="G178" s="369"/>
      <c r="H178" s="152"/>
      <c r="I178" s="219"/>
      <c r="J178" s="294"/>
      <c r="K178" s="220">
        <v>6</v>
      </c>
      <c r="L178" s="153">
        <v>51173.520000000004</v>
      </c>
      <c r="M178" s="144"/>
      <c r="N178" s="144"/>
      <c r="O178" s="144"/>
      <c r="P178" s="221">
        <v>49536.36</v>
      </c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</row>
    <row r="179" spans="1:28" s="141" customFormat="1" ht="27" x14ac:dyDescent="0.25">
      <c r="A179" s="178">
        <v>3</v>
      </c>
      <c r="B179" s="173" t="s">
        <v>227</v>
      </c>
      <c r="C179" s="285">
        <v>10</v>
      </c>
      <c r="D179" s="151">
        <v>10460.24</v>
      </c>
      <c r="E179" s="309">
        <v>104602.4</v>
      </c>
      <c r="F179" s="368">
        <v>1255228.8</v>
      </c>
      <c r="G179" s="369"/>
      <c r="H179" s="152"/>
      <c r="I179" s="219"/>
      <c r="J179" s="294"/>
      <c r="K179" s="220">
        <v>6</v>
      </c>
      <c r="L179" s="153">
        <v>62761.440000000002</v>
      </c>
      <c r="M179" s="144"/>
      <c r="N179" s="144"/>
      <c r="O179" s="144"/>
      <c r="P179" s="221">
        <v>60780.240000000005</v>
      </c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</row>
    <row r="180" spans="1:28" s="141" customFormat="1" ht="27" x14ac:dyDescent="0.25">
      <c r="A180" s="178">
        <v>4</v>
      </c>
      <c r="B180" s="310" t="s">
        <v>228</v>
      </c>
      <c r="C180" s="311">
        <v>1</v>
      </c>
      <c r="D180" s="151">
        <v>8561.08</v>
      </c>
      <c r="E180" s="309">
        <v>8561.08</v>
      </c>
      <c r="F180" s="368">
        <v>102732.96</v>
      </c>
      <c r="G180" s="369"/>
      <c r="H180" s="152"/>
      <c r="I180" s="219"/>
      <c r="J180" s="294"/>
      <c r="K180" s="220"/>
      <c r="L180" s="153"/>
      <c r="M180" s="144"/>
      <c r="N180" s="144"/>
      <c r="O180" s="144"/>
      <c r="P180" s="221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</row>
    <row r="181" spans="1:28" s="141" customFormat="1" ht="27" x14ac:dyDescent="0.25">
      <c r="A181" s="299" t="s">
        <v>26</v>
      </c>
      <c r="B181" s="298" t="s">
        <v>226</v>
      </c>
      <c r="C181" s="273">
        <v>2</v>
      </c>
      <c r="D181" s="302">
        <v>8528.92</v>
      </c>
      <c r="E181" s="302">
        <v>17057.84</v>
      </c>
      <c r="F181" s="381">
        <v>204694.08</v>
      </c>
      <c r="G181" s="382"/>
      <c r="H181" s="152"/>
      <c r="I181" s="219"/>
      <c r="J181" s="294"/>
      <c r="K181" s="220">
        <v>6</v>
      </c>
      <c r="L181" s="153">
        <v>51173.520000000004</v>
      </c>
      <c r="M181" s="144"/>
      <c r="N181" s="144"/>
      <c r="O181" s="144"/>
      <c r="P181" s="221">
        <v>49729.319999999992</v>
      </c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</row>
    <row r="182" spans="1:28" s="141" customFormat="1" ht="27" x14ac:dyDescent="0.25">
      <c r="A182" s="299">
        <v>5</v>
      </c>
      <c r="B182" s="298" t="s">
        <v>227</v>
      </c>
      <c r="C182" s="273">
        <v>2</v>
      </c>
      <c r="D182" s="302">
        <v>10460.24</v>
      </c>
      <c r="E182" s="302">
        <v>20920.48</v>
      </c>
      <c r="F182" s="381">
        <v>251045.76000000001</v>
      </c>
      <c r="G182" s="382"/>
      <c r="H182" s="152"/>
      <c r="I182" s="219"/>
      <c r="J182" s="294"/>
      <c r="K182" s="220">
        <v>6</v>
      </c>
      <c r="L182" s="153">
        <v>62761.440000000002</v>
      </c>
      <c r="M182" s="144"/>
      <c r="N182" s="144"/>
      <c r="O182" s="144"/>
      <c r="P182" s="221">
        <v>60973.200000000004</v>
      </c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</row>
    <row r="183" spans="1:28" s="141" customFormat="1" ht="27" x14ac:dyDescent="0.25">
      <c r="A183" s="178">
        <v>6</v>
      </c>
      <c r="B183" s="173" t="s">
        <v>230</v>
      </c>
      <c r="C183" s="285">
        <v>0</v>
      </c>
      <c r="D183" s="151">
        <v>8352.44</v>
      </c>
      <c r="E183" s="309">
        <v>0</v>
      </c>
      <c r="F183" s="368">
        <v>0</v>
      </c>
      <c r="G183" s="369"/>
      <c r="H183" s="152"/>
      <c r="I183" s="219"/>
      <c r="J183" s="294"/>
      <c r="K183" s="220">
        <v>1</v>
      </c>
      <c r="L183" s="153">
        <v>8352.44</v>
      </c>
      <c r="M183" s="144"/>
      <c r="N183" s="144"/>
      <c r="O183" s="144"/>
      <c r="P183" s="221">
        <v>8088.68</v>
      </c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</row>
    <row r="184" spans="1:28" s="141" customFormat="1" ht="27" x14ac:dyDescent="0.25">
      <c r="A184" s="178">
        <v>7</v>
      </c>
      <c r="B184" s="173" t="s">
        <v>231</v>
      </c>
      <c r="C184" s="285">
        <v>2</v>
      </c>
      <c r="D184" s="151">
        <v>3878.85</v>
      </c>
      <c r="E184" s="309">
        <v>7757.7</v>
      </c>
      <c r="F184" s="368">
        <v>93092.4</v>
      </c>
      <c r="G184" s="369"/>
      <c r="H184" s="152"/>
      <c r="I184" s="219"/>
      <c r="J184" s="294"/>
      <c r="K184" s="220">
        <v>2</v>
      </c>
      <c r="L184" s="153">
        <v>7757.7</v>
      </c>
      <c r="M184" s="144"/>
      <c r="N184" s="144">
        <v>3747.41</v>
      </c>
      <c r="O184" s="144"/>
      <c r="P184" s="221">
        <v>7494.82</v>
      </c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</row>
    <row r="185" spans="1:28" s="141" customFormat="1" ht="27" x14ac:dyDescent="0.25">
      <c r="A185" s="178">
        <v>8</v>
      </c>
      <c r="B185" s="173" t="s">
        <v>232</v>
      </c>
      <c r="C185" s="285">
        <v>1</v>
      </c>
      <c r="D185" s="151">
        <v>4844.55</v>
      </c>
      <c r="E185" s="309">
        <v>4844.55</v>
      </c>
      <c r="F185" s="368">
        <v>58134.6</v>
      </c>
      <c r="G185" s="369"/>
      <c r="H185" s="152"/>
      <c r="I185" s="219"/>
      <c r="J185" s="294"/>
      <c r="K185" s="220">
        <v>2</v>
      </c>
      <c r="L185" s="153">
        <v>9689.1</v>
      </c>
      <c r="M185" s="144"/>
      <c r="N185" s="144">
        <v>4684.4399999999996</v>
      </c>
      <c r="O185" s="144"/>
      <c r="P185" s="221">
        <v>9368.8799999999992</v>
      </c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</row>
    <row r="186" spans="1:28" s="141" customFormat="1" ht="27" x14ac:dyDescent="0.25">
      <c r="A186" s="178">
        <v>9</v>
      </c>
      <c r="B186" s="174" t="s">
        <v>235</v>
      </c>
      <c r="C186" s="285">
        <v>8</v>
      </c>
      <c r="D186" s="151">
        <v>8528.92</v>
      </c>
      <c r="E186" s="309">
        <v>68231.360000000001</v>
      </c>
      <c r="F186" s="368">
        <v>818776.32</v>
      </c>
      <c r="G186" s="369"/>
      <c r="H186" s="370" t="s">
        <v>219</v>
      </c>
      <c r="I186" s="219"/>
      <c r="J186" s="294"/>
      <c r="K186" s="153">
        <v>9</v>
      </c>
      <c r="L186" s="153">
        <v>76760.28</v>
      </c>
      <c r="M186" s="144"/>
      <c r="N186" s="144"/>
      <c r="O186" s="144"/>
      <c r="P186" s="221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</row>
    <row r="187" spans="1:28" s="141" customFormat="1" ht="27" x14ac:dyDescent="0.25">
      <c r="A187" s="178">
        <v>10</v>
      </c>
      <c r="B187" s="174" t="s">
        <v>236</v>
      </c>
      <c r="C187" s="285">
        <v>10</v>
      </c>
      <c r="D187" s="151">
        <v>10460.24</v>
      </c>
      <c r="E187" s="309">
        <v>104602.4</v>
      </c>
      <c r="F187" s="368">
        <v>1255228.8</v>
      </c>
      <c r="G187" s="369"/>
      <c r="H187" s="370"/>
      <c r="I187" s="219"/>
      <c r="J187" s="294"/>
      <c r="K187" s="153">
        <v>11</v>
      </c>
      <c r="L187" s="153">
        <v>115062.64</v>
      </c>
      <c r="M187" s="144"/>
      <c r="N187" s="144"/>
      <c r="O187" s="144"/>
      <c r="P187" s="221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</row>
    <row r="188" spans="1:28" s="141" customFormat="1" ht="27" x14ac:dyDescent="0.25">
      <c r="A188" s="178">
        <v>11</v>
      </c>
      <c r="B188" s="174" t="s">
        <v>237</v>
      </c>
      <c r="C188" s="285">
        <v>6</v>
      </c>
      <c r="D188" s="151">
        <v>8561.08</v>
      </c>
      <c r="E188" s="309">
        <v>51366.48</v>
      </c>
      <c r="F188" s="368">
        <v>616397.76</v>
      </c>
      <c r="G188" s="369"/>
      <c r="H188" s="370"/>
      <c r="I188" s="219"/>
      <c r="J188" s="294"/>
      <c r="K188" s="220">
        <v>8</v>
      </c>
      <c r="L188" s="153">
        <v>68488.639999999999</v>
      </c>
      <c r="M188" s="144"/>
      <c r="N188" s="144"/>
      <c r="O188" s="144"/>
      <c r="P188" s="221">
        <v>16576.439999999999</v>
      </c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</row>
    <row r="189" spans="1:28" s="141" customFormat="1" ht="27" x14ac:dyDescent="0.25">
      <c r="A189" s="178">
        <v>12</v>
      </c>
      <c r="B189" s="174" t="s">
        <v>238</v>
      </c>
      <c r="C189" s="285">
        <v>5</v>
      </c>
      <c r="D189" s="151">
        <v>10492.42</v>
      </c>
      <c r="E189" s="151">
        <v>52462.1</v>
      </c>
      <c r="F189" s="368">
        <v>629545.19999999995</v>
      </c>
      <c r="G189" s="369"/>
      <c r="H189" s="370"/>
      <c r="I189" s="219"/>
      <c r="J189" s="294"/>
      <c r="K189" s="220">
        <v>8</v>
      </c>
      <c r="L189" s="153">
        <v>83939.36</v>
      </c>
      <c r="M189" s="144"/>
      <c r="N189" s="144"/>
      <c r="O189" s="144"/>
      <c r="P189" s="221">
        <v>20324.400000000001</v>
      </c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</row>
    <row r="190" spans="1:28" s="141" customFormat="1" x14ac:dyDescent="0.25">
      <c r="A190" s="371"/>
      <c r="B190" s="372"/>
      <c r="C190" s="150">
        <v>59</v>
      </c>
      <c r="D190" s="373"/>
      <c r="E190" s="374"/>
      <c r="F190" s="374"/>
      <c r="G190" s="375"/>
      <c r="H190" s="152"/>
      <c r="I190" s="219"/>
      <c r="J190" s="262"/>
      <c r="K190" s="223">
        <v>66</v>
      </c>
      <c r="L190" s="153">
        <v>602739.80000000005</v>
      </c>
      <c r="M190" s="144"/>
      <c r="N190" s="144"/>
      <c r="O190" s="144"/>
      <c r="P190" s="221">
        <v>287532.04000000004</v>
      </c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</row>
    <row r="191" spans="1:28" s="141" customFormat="1" ht="13.5" customHeight="1" x14ac:dyDescent="0.25">
      <c r="A191" s="350" t="s">
        <v>54</v>
      </c>
      <c r="B191" s="351"/>
      <c r="C191" s="351"/>
      <c r="D191" s="351"/>
      <c r="E191" s="258">
        <v>539044.23</v>
      </c>
      <c r="F191" s="352">
        <v>6468530.7599999998</v>
      </c>
      <c r="G191" s="353"/>
      <c r="H191" s="154">
        <v>-64081.609999999986</v>
      </c>
      <c r="I191" s="155"/>
      <c r="J191" s="190"/>
      <c r="K191" s="190"/>
      <c r="L191" s="258">
        <v>602739.80000000005</v>
      </c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</row>
    <row r="192" spans="1:28" s="141" customFormat="1" ht="13.5" customHeight="1" x14ac:dyDescent="0.25">
      <c r="A192" s="354"/>
      <c r="B192" s="355"/>
      <c r="C192" s="355"/>
      <c r="D192" s="355"/>
      <c r="E192" s="355"/>
      <c r="F192" s="355"/>
      <c r="G192" s="356"/>
      <c r="H192" s="154"/>
      <c r="I192" s="155"/>
      <c r="J192" s="190"/>
      <c r="K192" s="190"/>
      <c r="L192" s="190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</row>
    <row r="193" spans="1:28" s="141" customFormat="1" ht="19.5" customHeight="1" x14ac:dyDescent="0.25">
      <c r="A193" s="436" t="s">
        <v>322</v>
      </c>
      <c r="B193" s="437"/>
      <c r="C193" s="437"/>
      <c r="D193" s="437"/>
      <c r="E193" s="438">
        <v>-1543.6800000006147</v>
      </c>
      <c r="F193" s="438"/>
      <c r="G193" s="439"/>
      <c r="H193" s="154"/>
      <c r="I193" s="155"/>
      <c r="J193" s="190"/>
      <c r="K193" s="190"/>
      <c r="L193" s="190">
        <v>63695.570000000065</v>
      </c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</row>
    <row r="194" spans="1:28" s="141" customFormat="1" ht="12" customHeight="1" x14ac:dyDescent="0.25">
      <c r="A194" s="383" t="s">
        <v>321</v>
      </c>
      <c r="B194" s="384"/>
      <c r="C194" s="384"/>
      <c r="D194" s="384"/>
      <c r="E194" s="384"/>
      <c r="F194" s="384"/>
      <c r="G194" s="385"/>
      <c r="H194" s="154"/>
      <c r="I194" s="155"/>
      <c r="J194" s="190"/>
      <c r="K194" s="190"/>
      <c r="L194" s="190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</row>
    <row r="195" spans="1:28" s="141" customFormat="1" ht="13.5" customHeight="1" x14ac:dyDescent="0.25">
      <c r="A195" s="350" t="s">
        <v>264</v>
      </c>
      <c r="B195" s="351"/>
      <c r="C195" s="351"/>
      <c r="D195" s="351"/>
      <c r="E195" s="351"/>
      <c r="F195" s="351"/>
      <c r="G195" s="357"/>
      <c r="H195" s="154"/>
      <c r="I195" s="155"/>
      <c r="J195" s="190"/>
      <c r="K195" s="190"/>
      <c r="L195" s="190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</row>
    <row r="196" spans="1:28" s="141" customFormat="1" ht="13.5" customHeight="1" x14ac:dyDescent="0.25">
      <c r="A196" s="358" t="s">
        <v>265</v>
      </c>
      <c r="B196" s="359"/>
      <c r="C196" s="359"/>
      <c r="D196" s="359"/>
      <c r="E196" s="360">
        <v>539044.23</v>
      </c>
      <c r="F196" s="360"/>
      <c r="G196" s="361"/>
      <c r="H196" s="154"/>
      <c r="I196" s="155"/>
      <c r="J196" s="190"/>
      <c r="K196" s="190"/>
      <c r="L196" s="190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</row>
    <row r="197" spans="1:28" s="141" customFormat="1" ht="13.5" customHeight="1" x14ac:dyDescent="0.25">
      <c r="A197" s="358" t="s">
        <v>266</v>
      </c>
      <c r="B197" s="359"/>
      <c r="C197" s="359"/>
      <c r="D197" s="359"/>
      <c r="E197" s="362">
        <v>12</v>
      </c>
      <c r="F197" s="362"/>
      <c r="G197" s="363"/>
      <c r="H197" s="154"/>
      <c r="I197" s="155"/>
      <c r="J197" s="190"/>
      <c r="K197" s="190"/>
      <c r="L197" s="190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</row>
    <row r="198" spans="1:28" s="141" customFormat="1" ht="13.5" customHeight="1" x14ac:dyDescent="0.25">
      <c r="A198" s="364" t="s">
        <v>267</v>
      </c>
      <c r="B198" s="365"/>
      <c r="C198" s="365"/>
      <c r="D198" s="365"/>
      <c r="E198" s="366">
        <v>6468530.7599999998</v>
      </c>
      <c r="F198" s="366"/>
      <c r="G198" s="367"/>
      <c r="H198" s="154"/>
      <c r="I198" s="155"/>
      <c r="J198" s="190"/>
      <c r="K198" s="190"/>
      <c r="L198" s="190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</row>
    <row r="199" spans="1:28" s="271" customFormat="1" ht="13.5" customHeight="1" x14ac:dyDescent="0.25">
      <c r="A199" s="263"/>
      <c r="B199" s="264"/>
      <c r="C199" s="264"/>
      <c r="D199" s="264"/>
      <c r="E199" s="265"/>
      <c r="F199" s="265"/>
      <c r="G199" s="266"/>
      <c r="H199" s="267"/>
      <c r="I199" s="268"/>
      <c r="J199" s="269"/>
      <c r="K199" s="269"/>
      <c r="L199" s="269"/>
      <c r="M199" s="270"/>
      <c r="N199" s="270"/>
      <c r="O199" s="270"/>
      <c r="P199" s="270"/>
      <c r="Q199" s="270"/>
      <c r="R199" s="270"/>
      <c r="S199" s="270"/>
      <c r="T199" s="270"/>
      <c r="U199" s="270"/>
      <c r="V199" s="270"/>
      <c r="W199" s="270"/>
      <c r="X199" s="270"/>
      <c r="Y199" s="270"/>
      <c r="Z199" s="270"/>
      <c r="AA199" s="270"/>
      <c r="AB199" s="270"/>
    </row>
    <row r="200" spans="1:28" s="141" customFormat="1" ht="21.75" customHeight="1" x14ac:dyDescent="0.25">
      <c r="A200" s="391" t="s">
        <v>335</v>
      </c>
      <c r="B200" s="392"/>
      <c r="C200" s="392"/>
      <c r="D200" s="392"/>
      <c r="E200" s="392"/>
      <c r="F200" s="392"/>
      <c r="G200" s="393"/>
      <c r="H200" s="304"/>
      <c r="I200" s="304"/>
      <c r="J200" s="303"/>
      <c r="K200" s="303"/>
      <c r="L200" s="303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</row>
    <row r="201" spans="1:28" s="141" customFormat="1" ht="28.5" customHeight="1" x14ac:dyDescent="0.25">
      <c r="A201" s="177" t="s">
        <v>42</v>
      </c>
      <c r="B201" s="301" t="s">
        <v>43</v>
      </c>
      <c r="C201" s="301" t="s">
        <v>144</v>
      </c>
      <c r="D201" s="301" t="s">
        <v>44</v>
      </c>
      <c r="E201" s="301" t="s">
        <v>45</v>
      </c>
      <c r="F201" s="379" t="s">
        <v>53</v>
      </c>
      <c r="G201" s="380"/>
      <c r="H201" s="148"/>
      <c r="I201" s="171"/>
      <c r="J201" s="303"/>
      <c r="K201" s="303"/>
      <c r="L201" s="303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</row>
    <row r="202" spans="1:28" s="141" customFormat="1" ht="27" x14ac:dyDescent="0.25">
      <c r="A202" s="178">
        <v>1</v>
      </c>
      <c r="B202" s="173" t="s">
        <v>225</v>
      </c>
      <c r="C202" s="150">
        <v>1</v>
      </c>
      <c r="D202" s="151">
        <v>5097.8599999999997</v>
      </c>
      <c r="E202" s="151">
        <v>5097.8599999999997</v>
      </c>
      <c r="F202" s="368">
        <v>61174.32</v>
      </c>
      <c r="G202" s="369"/>
      <c r="H202" s="152"/>
      <c r="I202" s="219"/>
      <c r="J202" s="219"/>
      <c r="K202" s="220">
        <v>1</v>
      </c>
      <c r="L202" s="153">
        <v>5097.8599999999997</v>
      </c>
      <c r="M202" s="144"/>
      <c r="N202" s="144"/>
      <c r="O202" s="144"/>
      <c r="P202" s="221">
        <v>4659.7</v>
      </c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</row>
    <row r="203" spans="1:28" s="141" customFormat="1" ht="27" x14ac:dyDescent="0.25">
      <c r="A203" s="178">
        <v>2</v>
      </c>
      <c r="B203" s="173" t="s">
        <v>226</v>
      </c>
      <c r="C203" s="334">
        <v>10</v>
      </c>
      <c r="D203" s="151">
        <v>9025.84</v>
      </c>
      <c r="E203" s="309">
        <v>90258.4</v>
      </c>
      <c r="F203" s="368">
        <v>1083100.8</v>
      </c>
      <c r="G203" s="369"/>
      <c r="H203" s="152"/>
      <c r="I203" s="219"/>
      <c r="J203" s="219"/>
      <c r="K203" s="220">
        <v>6</v>
      </c>
      <c r="L203" s="153">
        <v>54155.040000000001</v>
      </c>
      <c r="M203" s="144"/>
      <c r="N203" s="144"/>
      <c r="O203" s="144"/>
      <c r="P203" s="221">
        <v>49536.36</v>
      </c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</row>
    <row r="204" spans="1:28" s="141" customFormat="1" ht="27" x14ac:dyDescent="0.25">
      <c r="A204" s="178">
        <v>3</v>
      </c>
      <c r="B204" s="173" t="s">
        <v>227</v>
      </c>
      <c r="C204" s="334">
        <v>10</v>
      </c>
      <c r="D204" s="151">
        <v>11073.28</v>
      </c>
      <c r="E204" s="309">
        <v>110732.8</v>
      </c>
      <c r="F204" s="368">
        <v>1328793.6000000001</v>
      </c>
      <c r="G204" s="369"/>
      <c r="H204" s="152"/>
      <c r="I204" s="219"/>
      <c r="J204" s="219"/>
      <c r="K204" s="220">
        <v>6</v>
      </c>
      <c r="L204" s="153">
        <v>66439.680000000008</v>
      </c>
      <c r="M204" s="144"/>
      <c r="N204" s="144"/>
      <c r="O204" s="144"/>
      <c r="P204" s="221">
        <v>60780.240000000005</v>
      </c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</row>
    <row r="205" spans="1:28" s="141" customFormat="1" ht="27" x14ac:dyDescent="0.25">
      <c r="A205" s="178">
        <v>4</v>
      </c>
      <c r="B205" s="173" t="s">
        <v>228</v>
      </c>
      <c r="C205" s="334">
        <v>2</v>
      </c>
      <c r="D205" s="151">
        <v>9058.02</v>
      </c>
      <c r="E205" s="309">
        <v>18116.04</v>
      </c>
      <c r="F205" s="368">
        <v>217392.48</v>
      </c>
      <c r="G205" s="369"/>
      <c r="H205" s="152"/>
      <c r="I205" s="219"/>
      <c r="J205" s="219"/>
      <c r="K205" s="220">
        <v>6</v>
      </c>
      <c r="L205" s="153">
        <v>54348.12</v>
      </c>
      <c r="M205" s="144"/>
      <c r="N205" s="144"/>
      <c r="O205" s="144"/>
      <c r="P205" s="221">
        <v>49729.319999999992</v>
      </c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</row>
    <row r="206" spans="1:28" s="141" customFormat="1" ht="27" x14ac:dyDescent="0.25">
      <c r="A206" s="178">
        <v>5</v>
      </c>
      <c r="B206" s="173" t="s">
        <v>229</v>
      </c>
      <c r="C206" s="334">
        <v>2</v>
      </c>
      <c r="D206" s="151">
        <v>11105.4</v>
      </c>
      <c r="E206" s="309">
        <v>22210.799999999999</v>
      </c>
      <c r="F206" s="368">
        <v>266529.59999999998</v>
      </c>
      <c r="G206" s="369"/>
      <c r="H206" s="152"/>
      <c r="I206" s="219"/>
      <c r="J206" s="219"/>
      <c r="K206" s="220">
        <v>6</v>
      </c>
      <c r="L206" s="153">
        <v>66632.399999999994</v>
      </c>
      <c r="M206" s="144"/>
      <c r="N206" s="144"/>
      <c r="O206" s="144"/>
      <c r="P206" s="221">
        <v>60973.200000000004</v>
      </c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</row>
    <row r="207" spans="1:28" s="141" customFormat="1" ht="27" x14ac:dyDescent="0.25">
      <c r="A207" s="178">
        <v>6</v>
      </c>
      <c r="B207" s="173" t="s">
        <v>230</v>
      </c>
      <c r="C207" s="285">
        <v>0</v>
      </c>
      <c r="D207" s="151">
        <v>8840.5400000000009</v>
      </c>
      <c r="E207" s="309">
        <v>0</v>
      </c>
      <c r="F207" s="368">
        <v>0</v>
      </c>
      <c r="G207" s="369"/>
      <c r="H207" s="152"/>
      <c r="I207" s="219"/>
      <c r="J207" s="219"/>
      <c r="K207" s="220">
        <v>1</v>
      </c>
      <c r="L207" s="153">
        <v>8840.5400000000009</v>
      </c>
      <c r="M207" s="144"/>
      <c r="N207" s="144"/>
      <c r="O207" s="144"/>
      <c r="P207" s="221">
        <v>8088.68</v>
      </c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</row>
    <row r="208" spans="1:28" s="141" customFormat="1" ht="27" x14ac:dyDescent="0.25">
      <c r="A208" s="178">
        <v>7</v>
      </c>
      <c r="B208" s="173" t="s">
        <v>231</v>
      </c>
      <c r="C208" s="285">
        <v>2</v>
      </c>
      <c r="D208" s="151">
        <v>4090.76</v>
      </c>
      <c r="E208" s="309">
        <v>8181.52</v>
      </c>
      <c r="F208" s="368">
        <v>98178.240000000005</v>
      </c>
      <c r="G208" s="369"/>
      <c r="H208" s="152"/>
      <c r="I208" s="219"/>
      <c r="J208" s="262"/>
      <c r="K208" s="220">
        <v>2</v>
      </c>
      <c r="L208" s="153">
        <v>8181.52</v>
      </c>
      <c r="M208" s="144"/>
      <c r="N208" s="144">
        <v>3747.41</v>
      </c>
      <c r="O208" s="144"/>
      <c r="P208" s="221">
        <v>7494.82</v>
      </c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</row>
    <row r="209" spans="1:28" s="141" customFormat="1" ht="27" x14ac:dyDescent="0.25">
      <c r="A209" s="178">
        <v>8</v>
      </c>
      <c r="B209" s="173" t="s">
        <v>232</v>
      </c>
      <c r="C209" s="285">
        <v>1</v>
      </c>
      <c r="D209" s="151">
        <v>5114.4399999999996</v>
      </c>
      <c r="E209" s="309">
        <v>5114.4399999999996</v>
      </c>
      <c r="F209" s="368">
        <v>61373.279999999999</v>
      </c>
      <c r="G209" s="369"/>
      <c r="H209" s="152"/>
      <c r="I209" s="219"/>
      <c r="J209" s="262"/>
      <c r="K209" s="220">
        <v>2</v>
      </c>
      <c r="L209" s="153">
        <v>10228.879999999999</v>
      </c>
      <c r="M209" s="144"/>
      <c r="N209" s="144">
        <v>4684.4399999999996</v>
      </c>
      <c r="O209" s="144"/>
      <c r="P209" s="221">
        <v>9368.8799999999992</v>
      </c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</row>
    <row r="210" spans="1:28" s="141" customFormat="1" ht="27" x14ac:dyDescent="0.25">
      <c r="A210" s="178">
        <v>9</v>
      </c>
      <c r="B210" s="335" t="s">
        <v>235</v>
      </c>
      <c r="C210" s="285">
        <v>8</v>
      </c>
      <c r="D210" s="151">
        <v>9025.84</v>
      </c>
      <c r="E210" s="309">
        <v>72206.720000000001</v>
      </c>
      <c r="F210" s="368">
        <v>866480.64000000001</v>
      </c>
      <c r="G210" s="369"/>
      <c r="H210" s="370" t="s">
        <v>219</v>
      </c>
      <c r="I210" s="219"/>
      <c r="J210" s="153"/>
      <c r="K210" s="153">
        <v>9</v>
      </c>
      <c r="L210" s="153">
        <v>81232.56</v>
      </c>
      <c r="M210" s="144"/>
      <c r="N210" s="144"/>
      <c r="O210" s="144"/>
      <c r="P210" s="221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</row>
    <row r="211" spans="1:28" s="141" customFormat="1" ht="27" x14ac:dyDescent="0.25">
      <c r="A211" s="178">
        <v>10</v>
      </c>
      <c r="B211" s="335" t="s">
        <v>236</v>
      </c>
      <c r="C211" s="285">
        <v>10</v>
      </c>
      <c r="D211" s="151">
        <v>11073.28</v>
      </c>
      <c r="E211" s="309">
        <v>110732.8</v>
      </c>
      <c r="F211" s="368">
        <v>1328793.6000000001</v>
      </c>
      <c r="G211" s="369"/>
      <c r="H211" s="370"/>
      <c r="I211" s="219"/>
      <c r="J211" s="153"/>
      <c r="K211" s="153">
        <v>11</v>
      </c>
      <c r="L211" s="153">
        <v>121806.08</v>
      </c>
      <c r="M211" s="144"/>
      <c r="N211" s="144"/>
      <c r="O211" s="144"/>
      <c r="P211" s="221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</row>
    <row r="212" spans="1:28" s="141" customFormat="1" ht="27" x14ac:dyDescent="0.25">
      <c r="A212" s="178">
        <v>11</v>
      </c>
      <c r="B212" s="335" t="s">
        <v>237</v>
      </c>
      <c r="C212" s="285">
        <v>6</v>
      </c>
      <c r="D212" s="151">
        <v>9058.02</v>
      </c>
      <c r="E212" s="309">
        <v>54348.12</v>
      </c>
      <c r="F212" s="368">
        <v>652177.43999999994</v>
      </c>
      <c r="G212" s="369"/>
      <c r="H212" s="370"/>
      <c r="I212" s="219"/>
      <c r="J212" s="262"/>
      <c r="K212" s="220">
        <v>8</v>
      </c>
      <c r="L212" s="153">
        <v>72464.160000000003</v>
      </c>
      <c r="M212" s="144"/>
      <c r="N212" s="144"/>
      <c r="O212" s="144"/>
      <c r="P212" s="221">
        <v>16576.439999999999</v>
      </c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</row>
    <row r="213" spans="1:28" s="141" customFormat="1" ht="27" x14ac:dyDescent="0.25">
      <c r="A213" s="178">
        <v>12</v>
      </c>
      <c r="B213" s="335" t="s">
        <v>238</v>
      </c>
      <c r="C213" s="285">
        <v>5</v>
      </c>
      <c r="D213" s="151">
        <v>11105.4</v>
      </c>
      <c r="E213" s="151">
        <v>55527</v>
      </c>
      <c r="F213" s="368">
        <v>666324</v>
      </c>
      <c r="G213" s="369"/>
      <c r="H213" s="370"/>
      <c r="I213" s="219"/>
      <c r="J213" s="262"/>
      <c r="K213" s="220">
        <v>8</v>
      </c>
      <c r="L213" s="153">
        <v>88843.199999999997</v>
      </c>
      <c r="M213" s="144"/>
      <c r="N213" s="144"/>
      <c r="O213" s="144"/>
      <c r="P213" s="221">
        <v>20324.400000000001</v>
      </c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</row>
    <row r="214" spans="1:28" s="141" customFormat="1" x14ac:dyDescent="0.25">
      <c r="A214" s="371"/>
      <c r="B214" s="372"/>
      <c r="C214" s="150">
        <v>57</v>
      </c>
      <c r="D214" s="373"/>
      <c r="E214" s="374"/>
      <c r="F214" s="374"/>
      <c r="G214" s="375"/>
      <c r="H214" s="152"/>
      <c r="I214" s="219"/>
      <c r="J214" s="262"/>
      <c r="K214" s="223">
        <v>66</v>
      </c>
      <c r="L214" s="153">
        <v>638270.04</v>
      </c>
      <c r="M214" s="144"/>
      <c r="N214" s="144"/>
      <c r="O214" s="144"/>
      <c r="P214" s="221">
        <v>287532.04000000004</v>
      </c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</row>
    <row r="215" spans="1:28" s="141" customFormat="1" ht="13.5" customHeight="1" x14ac:dyDescent="0.25">
      <c r="A215" s="350" t="s">
        <v>54</v>
      </c>
      <c r="B215" s="351"/>
      <c r="C215" s="351"/>
      <c r="D215" s="351"/>
      <c r="E215" s="258">
        <v>552526.5</v>
      </c>
      <c r="F215" s="467">
        <v>6630318</v>
      </c>
      <c r="G215" s="468"/>
      <c r="H215" s="154">
        <v>-50599.339999999967</v>
      </c>
      <c r="I215" s="155"/>
      <c r="J215" s="190"/>
      <c r="K215" s="190"/>
      <c r="L215" s="258">
        <v>638270.04</v>
      </c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</row>
    <row r="216" spans="1:28" s="141" customFormat="1" ht="13.5" customHeight="1" x14ac:dyDescent="0.25">
      <c r="A216" s="354"/>
      <c r="B216" s="355"/>
      <c r="C216" s="355"/>
      <c r="D216" s="355"/>
      <c r="E216" s="355"/>
      <c r="F216" s="355"/>
      <c r="G216" s="356"/>
      <c r="H216" s="154"/>
      <c r="I216" s="155"/>
      <c r="J216" s="190"/>
      <c r="K216" s="190"/>
      <c r="L216" s="190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</row>
    <row r="217" spans="1:28" s="141" customFormat="1" ht="12" customHeight="1" x14ac:dyDescent="0.25">
      <c r="A217" s="383" t="s">
        <v>321</v>
      </c>
      <c r="B217" s="384"/>
      <c r="C217" s="384"/>
      <c r="D217" s="384"/>
      <c r="E217" s="384"/>
      <c r="F217" s="384"/>
      <c r="G217" s="385"/>
      <c r="H217" s="154"/>
      <c r="I217" s="155"/>
      <c r="J217" s="190"/>
      <c r="K217" s="190"/>
      <c r="L217" s="190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</row>
    <row r="218" spans="1:28" s="141" customFormat="1" ht="13.5" customHeight="1" x14ac:dyDescent="0.25">
      <c r="A218" s="350" t="s">
        <v>264</v>
      </c>
      <c r="B218" s="351"/>
      <c r="C218" s="351"/>
      <c r="D218" s="351"/>
      <c r="E218" s="351"/>
      <c r="F218" s="351"/>
      <c r="G218" s="357"/>
      <c r="H218" s="154"/>
      <c r="I218" s="155"/>
      <c r="J218" s="190"/>
      <c r="K218" s="190"/>
      <c r="L218" s="190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</row>
    <row r="219" spans="1:28" s="141" customFormat="1" ht="13.5" customHeight="1" x14ac:dyDescent="0.25">
      <c r="A219" s="358" t="s">
        <v>265</v>
      </c>
      <c r="B219" s="359"/>
      <c r="C219" s="359"/>
      <c r="D219" s="359"/>
      <c r="E219" s="360">
        <v>552526.5</v>
      </c>
      <c r="F219" s="360"/>
      <c r="G219" s="361"/>
      <c r="H219" s="154"/>
      <c r="I219" s="155"/>
      <c r="J219" s="190"/>
      <c r="K219" s="190"/>
      <c r="L219" s="190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</row>
    <row r="220" spans="1:28" s="141" customFormat="1" ht="13.5" customHeight="1" x14ac:dyDescent="0.25">
      <c r="A220" s="358" t="s">
        <v>266</v>
      </c>
      <c r="B220" s="359"/>
      <c r="C220" s="359"/>
      <c r="D220" s="359"/>
      <c r="E220" s="362">
        <v>12</v>
      </c>
      <c r="F220" s="362"/>
      <c r="G220" s="363"/>
      <c r="H220" s="154"/>
      <c r="I220" s="155"/>
      <c r="J220" s="190"/>
      <c r="K220" s="190"/>
      <c r="L220" s="190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</row>
    <row r="221" spans="1:28" s="141" customFormat="1" ht="13.5" customHeight="1" x14ac:dyDescent="0.25">
      <c r="A221" s="364" t="s">
        <v>267</v>
      </c>
      <c r="B221" s="365"/>
      <c r="C221" s="365"/>
      <c r="D221" s="365"/>
      <c r="E221" s="366">
        <v>6630318</v>
      </c>
      <c r="F221" s="366"/>
      <c r="G221" s="367"/>
      <c r="H221" s="154"/>
      <c r="I221" s="155"/>
      <c r="J221" s="190"/>
      <c r="K221" s="190"/>
      <c r="L221" s="190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</row>
    <row r="222" spans="1:28" s="271" customFormat="1" ht="13.5" customHeight="1" x14ac:dyDescent="0.25">
      <c r="A222" s="263"/>
      <c r="B222" s="264"/>
      <c r="C222" s="264"/>
      <c r="D222" s="264"/>
      <c r="E222" s="265"/>
      <c r="F222" s="265"/>
      <c r="G222" s="266"/>
      <c r="H222" s="267"/>
      <c r="I222" s="268"/>
      <c r="J222" s="269"/>
      <c r="K222" s="269"/>
      <c r="L222" s="269"/>
      <c r="M222" s="270"/>
      <c r="N222" s="270"/>
      <c r="O222" s="270"/>
      <c r="P222" s="270"/>
      <c r="Q222" s="270"/>
      <c r="R222" s="270"/>
      <c r="S222" s="270"/>
      <c r="T222" s="270"/>
      <c r="U222" s="270"/>
      <c r="V222" s="270"/>
      <c r="W222" s="270"/>
      <c r="X222" s="270"/>
      <c r="Y222" s="270"/>
      <c r="Z222" s="270"/>
      <c r="AA222" s="270"/>
      <c r="AB222" s="270"/>
    </row>
    <row r="223" spans="1:28" s="141" customFormat="1" ht="21.75" customHeight="1" x14ac:dyDescent="0.25">
      <c r="A223" s="391" t="s">
        <v>333</v>
      </c>
      <c r="B223" s="392"/>
      <c r="C223" s="392"/>
      <c r="D223" s="392"/>
      <c r="E223" s="392"/>
      <c r="F223" s="392"/>
      <c r="G223" s="393"/>
      <c r="H223" s="304"/>
      <c r="I223" s="304"/>
      <c r="J223" s="303"/>
      <c r="K223" s="303"/>
      <c r="L223" s="303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</row>
    <row r="224" spans="1:28" s="141" customFormat="1" ht="28.5" customHeight="1" x14ac:dyDescent="0.25">
      <c r="A224" s="177" t="s">
        <v>42</v>
      </c>
      <c r="B224" s="301" t="s">
        <v>43</v>
      </c>
      <c r="C224" s="301" t="s">
        <v>144</v>
      </c>
      <c r="D224" s="301" t="s">
        <v>44</v>
      </c>
      <c r="E224" s="301" t="s">
        <v>45</v>
      </c>
      <c r="F224" s="440" t="s">
        <v>53</v>
      </c>
      <c r="G224" s="378"/>
      <c r="H224" s="148"/>
      <c r="I224" s="171"/>
      <c r="J224" s="303"/>
      <c r="K224" s="303"/>
      <c r="L224" s="303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</row>
    <row r="225" spans="1:28" s="141" customFormat="1" ht="27" x14ac:dyDescent="0.25">
      <c r="A225" s="178">
        <v>1</v>
      </c>
      <c r="B225" s="173" t="s">
        <v>225</v>
      </c>
      <c r="C225" s="150">
        <v>1</v>
      </c>
      <c r="D225" s="151">
        <v>5097.8599999999997</v>
      </c>
      <c r="E225" s="151">
        <v>5097.8599999999997</v>
      </c>
      <c r="F225" s="441">
        <v>61174.32</v>
      </c>
      <c r="G225" s="442"/>
      <c r="H225" s="152"/>
      <c r="I225" s="219"/>
      <c r="J225" s="294"/>
      <c r="K225" s="220">
        <v>1</v>
      </c>
      <c r="L225" s="153">
        <v>5097.8599999999997</v>
      </c>
      <c r="M225" s="144"/>
      <c r="N225" s="144"/>
      <c r="O225" s="144"/>
      <c r="P225" s="221">
        <v>4659.7</v>
      </c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</row>
    <row r="226" spans="1:28" s="141" customFormat="1" ht="27" x14ac:dyDescent="0.25">
      <c r="A226" s="178">
        <v>2</v>
      </c>
      <c r="B226" s="332" t="s">
        <v>226</v>
      </c>
      <c r="C226" s="333">
        <v>11</v>
      </c>
      <c r="D226" s="151">
        <v>9025.84</v>
      </c>
      <c r="E226" s="309">
        <v>99284.24</v>
      </c>
      <c r="F226" s="441">
        <v>1191410.8799999999</v>
      </c>
      <c r="G226" s="442"/>
      <c r="H226" s="152"/>
      <c r="I226" s="219"/>
      <c r="J226" s="294"/>
      <c r="K226" s="220">
        <v>6</v>
      </c>
      <c r="L226" s="153">
        <v>54155.040000000001</v>
      </c>
      <c r="M226" s="144"/>
      <c r="N226" s="144"/>
      <c r="O226" s="144"/>
      <c r="P226" s="221">
        <v>49536.36</v>
      </c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</row>
    <row r="227" spans="1:28" s="141" customFormat="1" ht="27" x14ac:dyDescent="0.25">
      <c r="A227" s="178">
        <v>3</v>
      </c>
      <c r="B227" s="173" t="s">
        <v>227</v>
      </c>
      <c r="C227" s="285">
        <v>10</v>
      </c>
      <c r="D227" s="151">
        <v>11073.28</v>
      </c>
      <c r="E227" s="309">
        <v>110732.8</v>
      </c>
      <c r="F227" s="441">
        <v>1328793.6000000001</v>
      </c>
      <c r="G227" s="442"/>
      <c r="H227" s="152"/>
      <c r="I227" s="219"/>
      <c r="J227" s="294"/>
      <c r="K227" s="220">
        <v>6</v>
      </c>
      <c r="L227" s="153">
        <v>66439.680000000008</v>
      </c>
      <c r="M227" s="144"/>
      <c r="N227" s="144"/>
      <c r="O227" s="144"/>
      <c r="P227" s="221">
        <v>60780.240000000005</v>
      </c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</row>
    <row r="228" spans="1:28" s="141" customFormat="1" ht="27" x14ac:dyDescent="0.25">
      <c r="A228" s="178">
        <v>4</v>
      </c>
      <c r="B228" s="310" t="s">
        <v>228</v>
      </c>
      <c r="C228" s="333">
        <v>3</v>
      </c>
      <c r="D228" s="151">
        <v>9058.02</v>
      </c>
      <c r="E228" s="309">
        <v>27174.06</v>
      </c>
      <c r="F228" s="441">
        <v>326088.71999999997</v>
      </c>
      <c r="G228" s="442"/>
      <c r="H228" s="152"/>
      <c r="I228" s="219"/>
      <c r="J228" s="294"/>
      <c r="K228" s="220">
        <v>6</v>
      </c>
      <c r="L228" s="153">
        <v>54348.12</v>
      </c>
      <c r="M228" s="144"/>
      <c r="N228" s="144"/>
      <c r="O228" s="144"/>
      <c r="P228" s="221">
        <v>49729.319999999992</v>
      </c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</row>
    <row r="229" spans="1:28" s="141" customFormat="1" ht="27" x14ac:dyDescent="0.25">
      <c r="A229" s="178">
        <v>5</v>
      </c>
      <c r="B229" s="173" t="s">
        <v>229</v>
      </c>
      <c r="C229" s="285">
        <v>2</v>
      </c>
      <c r="D229" s="151">
        <v>11105.4</v>
      </c>
      <c r="E229" s="309">
        <v>22210.799999999999</v>
      </c>
      <c r="F229" s="441">
        <v>266529.59999999998</v>
      </c>
      <c r="G229" s="442"/>
      <c r="H229" s="152"/>
      <c r="I229" s="219"/>
      <c r="J229" s="294"/>
      <c r="K229" s="220">
        <v>6</v>
      </c>
      <c r="L229" s="153">
        <v>66632.399999999994</v>
      </c>
      <c r="M229" s="144"/>
      <c r="N229" s="144"/>
      <c r="O229" s="144"/>
      <c r="P229" s="221">
        <v>60973.200000000004</v>
      </c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</row>
    <row r="230" spans="1:28" s="141" customFormat="1" ht="27" x14ac:dyDescent="0.25">
      <c r="A230" s="178">
        <v>6</v>
      </c>
      <c r="B230" s="173" t="s">
        <v>230</v>
      </c>
      <c r="C230" s="285">
        <v>0</v>
      </c>
      <c r="D230" s="151">
        <v>8840.5400000000009</v>
      </c>
      <c r="E230" s="309">
        <v>0</v>
      </c>
      <c r="F230" s="441">
        <v>0</v>
      </c>
      <c r="G230" s="442"/>
      <c r="H230" s="152"/>
      <c r="I230" s="219"/>
      <c r="J230" s="294"/>
      <c r="K230" s="220">
        <v>1</v>
      </c>
      <c r="L230" s="153">
        <v>8840.5400000000009</v>
      </c>
      <c r="M230" s="144"/>
      <c r="N230" s="144"/>
      <c r="O230" s="144"/>
      <c r="P230" s="221">
        <v>8088.68</v>
      </c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</row>
    <row r="231" spans="1:28" s="141" customFormat="1" ht="27" x14ac:dyDescent="0.25">
      <c r="A231" s="178">
        <v>7</v>
      </c>
      <c r="B231" s="173" t="s">
        <v>231</v>
      </c>
      <c r="C231" s="285">
        <v>2</v>
      </c>
      <c r="D231" s="151">
        <v>4090.76</v>
      </c>
      <c r="E231" s="309">
        <v>8181.52</v>
      </c>
      <c r="F231" s="441">
        <v>98178.240000000005</v>
      </c>
      <c r="G231" s="442"/>
      <c r="H231" s="152"/>
      <c r="I231" s="219"/>
      <c r="J231" s="294"/>
      <c r="K231" s="220">
        <v>2</v>
      </c>
      <c r="L231" s="153">
        <v>8181.52</v>
      </c>
      <c r="M231" s="144"/>
      <c r="N231" s="144">
        <v>3747.41</v>
      </c>
      <c r="O231" s="144"/>
      <c r="P231" s="221">
        <v>7494.82</v>
      </c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</row>
    <row r="232" spans="1:28" s="141" customFormat="1" ht="27" x14ac:dyDescent="0.25">
      <c r="A232" s="178">
        <v>8</v>
      </c>
      <c r="B232" s="173" t="s">
        <v>232</v>
      </c>
      <c r="C232" s="285">
        <v>1</v>
      </c>
      <c r="D232" s="151">
        <v>5114.4399999999996</v>
      </c>
      <c r="E232" s="309">
        <v>5114.4399999999996</v>
      </c>
      <c r="F232" s="441">
        <v>61373.279999999999</v>
      </c>
      <c r="G232" s="442"/>
      <c r="H232" s="152"/>
      <c r="I232" s="219"/>
      <c r="J232" s="294"/>
      <c r="K232" s="220">
        <v>2</v>
      </c>
      <c r="L232" s="153">
        <v>10228.879999999999</v>
      </c>
      <c r="M232" s="144"/>
      <c r="N232" s="144">
        <v>4684.4399999999996</v>
      </c>
      <c r="O232" s="144"/>
      <c r="P232" s="221">
        <v>9368.8799999999992</v>
      </c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</row>
    <row r="233" spans="1:28" s="141" customFormat="1" ht="27" x14ac:dyDescent="0.25">
      <c r="A233" s="178">
        <v>9</v>
      </c>
      <c r="B233" s="174" t="s">
        <v>235</v>
      </c>
      <c r="C233" s="285">
        <v>8</v>
      </c>
      <c r="D233" s="151">
        <v>9025.84</v>
      </c>
      <c r="E233" s="309">
        <v>72206.720000000001</v>
      </c>
      <c r="F233" s="441">
        <v>866480.64000000001</v>
      </c>
      <c r="G233" s="442"/>
      <c r="H233" s="461" t="s">
        <v>219</v>
      </c>
      <c r="I233" s="219"/>
      <c r="J233" s="294"/>
      <c r="K233" s="153">
        <v>9</v>
      </c>
      <c r="L233" s="153">
        <v>81232.56</v>
      </c>
      <c r="M233" s="144"/>
      <c r="N233" s="144"/>
      <c r="O233" s="144"/>
      <c r="P233" s="221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</row>
    <row r="234" spans="1:28" s="141" customFormat="1" ht="27" x14ac:dyDescent="0.25">
      <c r="A234" s="178">
        <v>10</v>
      </c>
      <c r="B234" s="174" t="s">
        <v>236</v>
      </c>
      <c r="C234" s="285">
        <v>10</v>
      </c>
      <c r="D234" s="151">
        <v>11073.28</v>
      </c>
      <c r="E234" s="309">
        <v>110732.8</v>
      </c>
      <c r="F234" s="441">
        <v>1328793.6000000001</v>
      </c>
      <c r="G234" s="442"/>
      <c r="H234" s="462"/>
      <c r="I234" s="219"/>
      <c r="J234" s="294"/>
      <c r="K234" s="153">
        <v>11</v>
      </c>
      <c r="L234" s="153">
        <v>121806.08</v>
      </c>
      <c r="M234" s="144"/>
      <c r="N234" s="144"/>
      <c r="O234" s="144"/>
      <c r="P234" s="221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</row>
    <row r="235" spans="1:28" s="141" customFormat="1" ht="27" x14ac:dyDescent="0.25">
      <c r="A235" s="178">
        <v>11</v>
      </c>
      <c r="B235" s="174" t="s">
        <v>237</v>
      </c>
      <c r="C235" s="285">
        <v>6</v>
      </c>
      <c r="D235" s="151">
        <v>9058.02</v>
      </c>
      <c r="E235" s="309">
        <v>54348.12</v>
      </c>
      <c r="F235" s="441">
        <v>652177.43999999994</v>
      </c>
      <c r="G235" s="442"/>
      <c r="H235" s="462"/>
      <c r="I235" s="219"/>
      <c r="J235" s="294"/>
      <c r="K235" s="220">
        <v>8</v>
      </c>
      <c r="L235" s="153">
        <v>72464.160000000003</v>
      </c>
      <c r="M235" s="144"/>
      <c r="N235" s="144"/>
      <c r="O235" s="144"/>
      <c r="P235" s="221">
        <v>16576.439999999999</v>
      </c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</row>
    <row r="236" spans="1:28" s="141" customFormat="1" ht="27" x14ac:dyDescent="0.25">
      <c r="A236" s="178">
        <v>12</v>
      </c>
      <c r="B236" s="174" t="s">
        <v>238</v>
      </c>
      <c r="C236" s="285">
        <v>5</v>
      </c>
      <c r="D236" s="151">
        <v>11105.4</v>
      </c>
      <c r="E236" s="151">
        <v>55527</v>
      </c>
      <c r="F236" s="441">
        <v>666324</v>
      </c>
      <c r="G236" s="442"/>
      <c r="H236" s="463"/>
      <c r="I236" s="219"/>
      <c r="J236" s="294"/>
      <c r="K236" s="220">
        <v>8</v>
      </c>
      <c r="L236" s="153">
        <v>88843.199999999997</v>
      </c>
      <c r="M236" s="144"/>
      <c r="N236" s="144"/>
      <c r="O236" s="144"/>
      <c r="P236" s="221">
        <v>20324.400000000001</v>
      </c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</row>
    <row r="237" spans="1:28" s="141" customFormat="1" x14ac:dyDescent="0.25">
      <c r="A237" s="371"/>
      <c r="B237" s="372"/>
      <c r="C237" s="150">
        <v>59</v>
      </c>
      <c r="D237" s="373"/>
      <c r="E237" s="374"/>
      <c r="F237" s="374"/>
      <c r="G237" s="375"/>
      <c r="H237" s="152"/>
      <c r="I237" s="219"/>
      <c r="J237" s="262"/>
      <c r="K237" s="223">
        <v>66</v>
      </c>
      <c r="L237" s="153">
        <v>638270.04</v>
      </c>
      <c r="M237" s="144"/>
      <c r="N237" s="144"/>
      <c r="O237" s="144"/>
      <c r="P237" s="221">
        <v>287532.04000000004</v>
      </c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</row>
    <row r="238" spans="1:28" s="141" customFormat="1" ht="13.5" customHeight="1" x14ac:dyDescent="0.25">
      <c r="A238" s="443" t="s">
        <v>54</v>
      </c>
      <c r="B238" s="444"/>
      <c r="C238" s="444"/>
      <c r="D238" s="464"/>
      <c r="E238" s="258">
        <v>570610.36</v>
      </c>
      <c r="F238" s="465">
        <v>6847324.3200000003</v>
      </c>
      <c r="G238" s="466"/>
      <c r="H238" s="154">
        <v>-32515.479999999981</v>
      </c>
      <c r="I238" s="155"/>
      <c r="J238" s="190"/>
      <c r="K238" s="190"/>
      <c r="L238" s="258">
        <v>638270.04</v>
      </c>
      <c r="M238" s="144"/>
      <c r="N238" s="144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  <c r="Y238" s="144"/>
      <c r="Z238" s="144"/>
      <c r="AA238" s="144"/>
      <c r="AB238" s="144"/>
    </row>
    <row r="239" spans="1:28" s="141" customFormat="1" ht="13.5" customHeight="1" x14ac:dyDescent="0.25">
      <c r="A239" s="354"/>
      <c r="B239" s="355"/>
      <c r="C239" s="355"/>
      <c r="D239" s="355"/>
      <c r="E239" s="355"/>
      <c r="F239" s="355"/>
      <c r="G239" s="356"/>
      <c r="H239" s="154"/>
      <c r="I239" s="155"/>
      <c r="J239" s="190"/>
      <c r="K239" s="190"/>
      <c r="L239" s="190"/>
      <c r="M239" s="144"/>
      <c r="N239" s="144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  <c r="AA239" s="144"/>
      <c r="AB239" s="144"/>
    </row>
    <row r="240" spans="1:28" s="141" customFormat="1" ht="13.5" customHeight="1" x14ac:dyDescent="0.25">
      <c r="A240" s="443" t="s">
        <v>264</v>
      </c>
      <c r="B240" s="444"/>
      <c r="C240" s="444"/>
      <c r="D240" s="444"/>
      <c r="E240" s="444"/>
      <c r="F240" s="444"/>
      <c r="G240" s="445"/>
      <c r="H240" s="154"/>
      <c r="I240" s="155"/>
      <c r="J240" s="190"/>
      <c r="K240" s="190"/>
      <c r="L240" s="190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  <c r="AA240" s="144"/>
      <c r="AB240" s="144"/>
    </row>
    <row r="241" spans="1:28" s="141" customFormat="1" ht="13.5" customHeight="1" x14ac:dyDescent="0.25">
      <c r="A241" s="446" t="s">
        <v>265</v>
      </c>
      <c r="B241" s="447"/>
      <c r="C241" s="447"/>
      <c r="D241" s="448"/>
      <c r="E241" s="449">
        <v>570610.36</v>
      </c>
      <c r="F241" s="450"/>
      <c r="G241" s="451"/>
      <c r="H241" s="154"/>
      <c r="I241" s="155"/>
      <c r="J241" s="190"/>
      <c r="K241" s="190"/>
      <c r="L241" s="190"/>
      <c r="M241" s="144"/>
      <c r="N241" s="144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  <c r="Y241" s="144"/>
      <c r="Z241" s="144"/>
      <c r="AA241" s="144"/>
      <c r="AB241" s="144"/>
    </row>
    <row r="242" spans="1:28" s="141" customFormat="1" ht="13.5" customHeight="1" x14ac:dyDescent="0.25">
      <c r="A242" s="446" t="s">
        <v>266</v>
      </c>
      <c r="B242" s="447"/>
      <c r="C242" s="447"/>
      <c r="D242" s="448"/>
      <c r="E242" s="452">
        <v>12</v>
      </c>
      <c r="F242" s="453"/>
      <c r="G242" s="454"/>
      <c r="H242" s="154"/>
      <c r="I242" s="155"/>
      <c r="J242" s="190"/>
      <c r="K242" s="190"/>
      <c r="L242" s="190"/>
      <c r="M242" s="144"/>
      <c r="N242" s="144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  <c r="AA242" s="144"/>
      <c r="AB242" s="144"/>
    </row>
    <row r="243" spans="1:28" s="141" customFormat="1" ht="13.5" customHeight="1" x14ac:dyDescent="0.25">
      <c r="A243" s="455" t="s">
        <v>267</v>
      </c>
      <c r="B243" s="456"/>
      <c r="C243" s="456"/>
      <c r="D243" s="457"/>
      <c r="E243" s="458">
        <v>6847324.3200000003</v>
      </c>
      <c r="F243" s="459"/>
      <c r="G243" s="460"/>
      <c r="H243" s="154"/>
      <c r="I243" s="155"/>
      <c r="J243" s="190"/>
      <c r="K243" s="190"/>
      <c r="L243" s="190"/>
      <c r="M243" s="144"/>
      <c r="N243" s="144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  <c r="Y243" s="144"/>
      <c r="Z243" s="144"/>
      <c r="AA243" s="144"/>
      <c r="AB243" s="144"/>
    </row>
    <row r="244" spans="1:28" s="141" customFormat="1" ht="21" customHeight="1" x14ac:dyDescent="0.25">
      <c r="A244" s="399"/>
      <c r="B244" s="400"/>
      <c r="C244" s="400"/>
      <c r="D244" s="400"/>
      <c r="E244" s="400"/>
      <c r="F244" s="400"/>
      <c r="G244" s="401"/>
      <c r="H244" s="157"/>
      <c r="I244" s="300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  <c r="Y244" s="144"/>
      <c r="Z244" s="144"/>
      <c r="AA244" s="144"/>
      <c r="AB244" s="144"/>
    </row>
    <row r="245" spans="1:28" s="141" customFormat="1" ht="21.75" customHeight="1" x14ac:dyDescent="0.25">
      <c r="A245" s="391" t="s">
        <v>334</v>
      </c>
      <c r="B245" s="392"/>
      <c r="C245" s="392"/>
      <c r="D245" s="392"/>
      <c r="E245" s="392"/>
      <c r="F245" s="392"/>
      <c r="G245" s="393"/>
      <c r="H245" s="304"/>
      <c r="I245" s="304"/>
      <c r="J245" s="303"/>
      <c r="K245" s="303"/>
      <c r="L245" s="303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  <c r="AA245" s="144"/>
      <c r="AB245" s="144"/>
    </row>
    <row r="246" spans="1:28" s="141" customFormat="1" ht="28.5" customHeight="1" x14ac:dyDescent="0.25">
      <c r="A246" s="177" t="s">
        <v>42</v>
      </c>
      <c r="B246" s="301" t="s">
        <v>43</v>
      </c>
      <c r="C246" s="301" t="s">
        <v>144</v>
      </c>
      <c r="D246" s="301" t="s">
        <v>44</v>
      </c>
      <c r="E246" s="301" t="s">
        <v>45</v>
      </c>
      <c r="F246" s="440" t="s">
        <v>53</v>
      </c>
      <c r="G246" s="378"/>
      <c r="H246" s="148"/>
      <c r="I246" s="171"/>
      <c r="J246" s="303"/>
      <c r="K246" s="303"/>
      <c r="L246" s="303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  <c r="AA246" s="144"/>
      <c r="AB246" s="144"/>
    </row>
    <row r="247" spans="1:28" s="141" customFormat="1" ht="27" x14ac:dyDescent="0.25">
      <c r="A247" s="178">
        <v>1</v>
      </c>
      <c r="B247" s="173" t="s">
        <v>225</v>
      </c>
      <c r="C247" s="150">
        <v>1</v>
      </c>
      <c r="D247" s="151">
        <v>5103.45</v>
      </c>
      <c r="E247" s="151">
        <v>5103.45</v>
      </c>
      <c r="F247" s="441">
        <v>61241.4</v>
      </c>
      <c r="G247" s="442"/>
      <c r="H247" s="152"/>
      <c r="I247" s="219"/>
      <c r="J247" s="294"/>
      <c r="K247" s="220">
        <v>1</v>
      </c>
      <c r="L247" s="153">
        <v>5103.45</v>
      </c>
      <c r="M247" s="144"/>
      <c r="N247" s="144"/>
      <c r="O247" s="144"/>
      <c r="P247" s="221">
        <v>4659.7</v>
      </c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  <c r="AA247" s="144"/>
      <c r="AB247" s="144"/>
    </row>
    <row r="248" spans="1:28" s="141" customFormat="1" ht="27" x14ac:dyDescent="0.25">
      <c r="A248" s="178">
        <v>2</v>
      </c>
      <c r="B248" s="332" t="s">
        <v>226</v>
      </c>
      <c r="C248" s="333">
        <v>11</v>
      </c>
      <c r="D248" s="151">
        <v>9032.5400000000009</v>
      </c>
      <c r="E248" s="309">
        <v>99357.94</v>
      </c>
      <c r="F248" s="441">
        <v>1192295.28</v>
      </c>
      <c r="G248" s="442"/>
      <c r="H248" s="152"/>
      <c r="I248" s="219"/>
      <c r="J248" s="294"/>
      <c r="K248" s="220">
        <v>6</v>
      </c>
      <c r="L248" s="153">
        <v>54195.240000000005</v>
      </c>
      <c r="M248" s="144"/>
      <c r="N248" s="144"/>
      <c r="O248" s="144"/>
      <c r="P248" s="221">
        <v>49536.36</v>
      </c>
      <c r="Q248" s="144"/>
      <c r="R248" s="144"/>
      <c r="S248" s="144"/>
      <c r="T248" s="144"/>
      <c r="U248" s="144"/>
      <c r="V248" s="144"/>
      <c r="W248" s="144"/>
      <c r="X248" s="144"/>
      <c r="Y248" s="144"/>
      <c r="Z248" s="144"/>
      <c r="AA248" s="144"/>
      <c r="AB248" s="144"/>
    </row>
    <row r="249" spans="1:28" s="141" customFormat="1" ht="27" x14ac:dyDescent="0.25">
      <c r="A249" s="178">
        <v>3</v>
      </c>
      <c r="B249" s="173" t="s">
        <v>227</v>
      </c>
      <c r="C249" s="285">
        <v>10</v>
      </c>
      <c r="D249" s="151">
        <v>11079.92</v>
      </c>
      <c r="E249" s="309">
        <v>110799.2</v>
      </c>
      <c r="F249" s="441">
        <v>1329590.3999999999</v>
      </c>
      <c r="G249" s="442"/>
      <c r="H249" s="152"/>
      <c r="I249" s="219"/>
      <c r="J249" s="294"/>
      <c r="K249" s="220">
        <v>6</v>
      </c>
      <c r="L249" s="153">
        <v>66479.520000000004</v>
      </c>
      <c r="M249" s="144"/>
      <c r="N249" s="144"/>
      <c r="O249" s="144"/>
      <c r="P249" s="221">
        <v>60780.240000000005</v>
      </c>
      <c r="Q249" s="144"/>
      <c r="R249" s="144"/>
      <c r="S249" s="144"/>
      <c r="T249" s="144"/>
      <c r="U249" s="144"/>
      <c r="V249" s="144"/>
      <c r="W249" s="144"/>
      <c r="X249" s="144"/>
      <c r="Y249" s="144"/>
      <c r="Z249" s="144"/>
      <c r="AA249" s="144"/>
      <c r="AB249" s="144"/>
    </row>
    <row r="250" spans="1:28" s="141" customFormat="1" ht="27" x14ac:dyDescent="0.25">
      <c r="A250" s="178">
        <v>4</v>
      </c>
      <c r="B250" s="310" t="s">
        <v>228</v>
      </c>
      <c r="C250" s="333">
        <v>3</v>
      </c>
      <c r="D250" s="151">
        <v>9064.66</v>
      </c>
      <c r="E250" s="309">
        <v>27193.98</v>
      </c>
      <c r="F250" s="441">
        <v>326327.76</v>
      </c>
      <c r="G250" s="442"/>
      <c r="H250" s="152"/>
      <c r="I250" s="219"/>
      <c r="J250" s="294"/>
      <c r="K250" s="220">
        <v>6</v>
      </c>
      <c r="L250" s="153">
        <v>54387.96</v>
      </c>
      <c r="M250" s="144"/>
      <c r="N250" s="144"/>
      <c r="O250" s="144"/>
      <c r="P250" s="221">
        <v>49729.319999999992</v>
      </c>
      <c r="Q250" s="144"/>
      <c r="R250" s="144"/>
      <c r="S250" s="144"/>
      <c r="T250" s="144"/>
      <c r="U250" s="144"/>
      <c r="V250" s="144"/>
      <c r="W250" s="144"/>
      <c r="X250" s="144"/>
      <c r="Y250" s="144"/>
      <c r="Z250" s="144"/>
      <c r="AA250" s="144"/>
      <c r="AB250" s="144"/>
    </row>
    <row r="251" spans="1:28" s="141" customFormat="1" ht="27" x14ac:dyDescent="0.25">
      <c r="A251" s="178">
        <v>5</v>
      </c>
      <c r="B251" s="173" t="s">
        <v>229</v>
      </c>
      <c r="C251" s="285">
        <v>2</v>
      </c>
      <c r="D251" s="151">
        <v>11112.04</v>
      </c>
      <c r="E251" s="309">
        <v>22224.080000000002</v>
      </c>
      <c r="F251" s="441">
        <v>266688.96000000002</v>
      </c>
      <c r="G251" s="442"/>
      <c r="H251" s="152"/>
      <c r="I251" s="219"/>
      <c r="J251" s="294"/>
      <c r="K251" s="220">
        <v>6</v>
      </c>
      <c r="L251" s="153">
        <v>66672.240000000005</v>
      </c>
      <c r="M251" s="144"/>
      <c r="N251" s="144"/>
      <c r="O251" s="144"/>
      <c r="P251" s="221">
        <v>60973.200000000004</v>
      </c>
      <c r="Q251" s="144"/>
      <c r="R251" s="144"/>
      <c r="S251" s="144"/>
      <c r="T251" s="144"/>
      <c r="U251" s="144"/>
      <c r="V251" s="144"/>
      <c r="W251" s="144"/>
      <c r="X251" s="144"/>
      <c r="Y251" s="144"/>
      <c r="Z251" s="144"/>
      <c r="AA251" s="144"/>
      <c r="AB251" s="144"/>
    </row>
    <row r="252" spans="1:28" s="141" customFormat="1" ht="27" x14ac:dyDescent="0.25">
      <c r="A252" s="178">
        <v>6</v>
      </c>
      <c r="B252" s="173" t="s">
        <v>230</v>
      </c>
      <c r="C252" s="285">
        <v>0</v>
      </c>
      <c r="D252" s="151">
        <v>8846.06</v>
      </c>
      <c r="E252" s="309">
        <v>0</v>
      </c>
      <c r="F252" s="441">
        <v>0</v>
      </c>
      <c r="G252" s="442"/>
      <c r="H252" s="152"/>
      <c r="I252" s="219"/>
      <c r="J252" s="294"/>
      <c r="K252" s="220">
        <v>1</v>
      </c>
      <c r="L252" s="153">
        <v>8846.06</v>
      </c>
      <c r="M252" s="144"/>
      <c r="N252" s="144"/>
      <c r="O252" s="144"/>
      <c r="P252" s="221">
        <v>8088.68</v>
      </c>
      <c r="Q252" s="144"/>
      <c r="R252" s="144"/>
      <c r="S252" s="144"/>
      <c r="T252" s="144"/>
      <c r="U252" s="144"/>
      <c r="V252" s="144"/>
      <c r="W252" s="144"/>
      <c r="X252" s="144"/>
      <c r="Y252" s="144"/>
      <c r="Z252" s="144"/>
      <c r="AA252" s="144"/>
      <c r="AB252" s="144"/>
    </row>
    <row r="253" spans="1:28" s="141" customFormat="1" ht="27" x14ac:dyDescent="0.25">
      <c r="A253" s="178">
        <v>7</v>
      </c>
      <c r="B253" s="173" t="s">
        <v>231</v>
      </c>
      <c r="C253" s="285">
        <v>2</v>
      </c>
      <c r="D253" s="151">
        <v>4097.42</v>
      </c>
      <c r="E253" s="309">
        <v>8194.84</v>
      </c>
      <c r="F253" s="441">
        <v>98338.08</v>
      </c>
      <c r="G253" s="442"/>
      <c r="H253" s="152"/>
      <c r="I253" s="219"/>
      <c r="J253" s="294"/>
      <c r="K253" s="220">
        <v>2</v>
      </c>
      <c r="L253" s="153">
        <v>8194.84</v>
      </c>
      <c r="M253" s="144"/>
      <c r="N253" s="144">
        <v>3747.41</v>
      </c>
      <c r="O253" s="144"/>
      <c r="P253" s="221">
        <v>7494.82</v>
      </c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</row>
    <row r="254" spans="1:28" s="141" customFormat="1" ht="27" x14ac:dyDescent="0.25">
      <c r="A254" s="178">
        <v>8</v>
      </c>
      <c r="B254" s="173" t="s">
        <v>232</v>
      </c>
      <c r="C254" s="285">
        <v>1</v>
      </c>
      <c r="D254" s="151">
        <v>5121.1099999999997</v>
      </c>
      <c r="E254" s="309">
        <v>5121.1099999999997</v>
      </c>
      <c r="F254" s="441">
        <v>61453.32</v>
      </c>
      <c r="G254" s="442"/>
      <c r="H254" s="152"/>
      <c r="I254" s="219"/>
      <c r="J254" s="294"/>
      <c r="K254" s="220">
        <v>2</v>
      </c>
      <c r="L254" s="153">
        <v>10242.219999999999</v>
      </c>
      <c r="M254" s="144"/>
      <c r="N254" s="144">
        <v>4684.4399999999996</v>
      </c>
      <c r="O254" s="144"/>
      <c r="P254" s="221">
        <v>9368.8799999999992</v>
      </c>
      <c r="Q254" s="144"/>
      <c r="R254" s="144"/>
      <c r="S254" s="144"/>
      <c r="T254" s="144"/>
      <c r="U254" s="144"/>
      <c r="V254" s="144"/>
      <c r="W254" s="144"/>
      <c r="X254" s="144"/>
      <c r="Y254" s="144"/>
      <c r="Z254" s="144"/>
      <c r="AA254" s="144"/>
      <c r="AB254" s="144"/>
    </row>
    <row r="255" spans="1:28" s="141" customFormat="1" ht="27" x14ac:dyDescent="0.25">
      <c r="A255" s="178">
        <v>9</v>
      </c>
      <c r="B255" s="174" t="s">
        <v>235</v>
      </c>
      <c r="C255" s="285">
        <v>8</v>
      </c>
      <c r="D255" s="151">
        <v>9032.5400000000009</v>
      </c>
      <c r="E255" s="309">
        <v>72260.320000000007</v>
      </c>
      <c r="F255" s="441">
        <v>867123.84</v>
      </c>
      <c r="G255" s="442"/>
      <c r="H255" s="461" t="s">
        <v>219</v>
      </c>
      <c r="I255" s="219"/>
      <c r="J255" s="294"/>
      <c r="K255" s="153">
        <v>9</v>
      </c>
      <c r="L255" s="153">
        <v>81292.860000000015</v>
      </c>
      <c r="M255" s="144"/>
      <c r="N255" s="144"/>
      <c r="O255" s="144"/>
      <c r="P255" s="221"/>
      <c r="Q255" s="144"/>
      <c r="R255" s="144"/>
      <c r="S255" s="144"/>
      <c r="T255" s="144"/>
      <c r="U255" s="144"/>
      <c r="V255" s="144"/>
      <c r="W255" s="144"/>
      <c r="X255" s="144"/>
      <c r="Y255" s="144"/>
      <c r="Z255" s="144"/>
      <c r="AA255" s="144"/>
      <c r="AB255" s="144"/>
    </row>
    <row r="256" spans="1:28" s="141" customFormat="1" ht="27" x14ac:dyDescent="0.25">
      <c r="A256" s="178">
        <v>10</v>
      </c>
      <c r="B256" s="174" t="s">
        <v>236</v>
      </c>
      <c r="C256" s="285">
        <v>10</v>
      </c>
      <c r="D256" s="151">
        <v>11079.92</v>
      </c>
      <c r="E256" s="309">
        <v>110799.2</v>
      </c>
      <c r="F256" s="441">
        <v>1329590.3999999999</v>
      </c>
      <c r="G256" s="442"/>
      <c r="H256" s="462"/>
      <c r="I256" s="219"/>
      <c r="J256" s="294"/>
      <c r="K256" s="153">
        <v>11</v>
      </c>
      <c r="L256" s="153">
        <v>121879.12</v>
      </c>
      <c r="M256" s="144"/>
      <c r="N256" s="144"/>
      <c r="O256" s="144"/>
      <c r="P256" s="221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  <c r="AA256" s="144"/>
      <c r="AB256" s="144"/>
    </row>
    <row r="257" spans="1:28" s="141" customFormat="1" ht="27" x14ac:dyDescent="0.25">
      <c r="A257" s="178">
        <v>11</v>
      </c>
      <c r="B257" s="174" t="s">
        <v>237</v>
      </c>
      <c r="C257" s="285">
        <v>6</v>
      </c>
      <c r="D257" s="151">
        <v>9064.66</v>
      </c>
      <c r="E257" s="309">
        <v>54387.96</v>
      </c>
      <c r="F257" s="441">
        <v>652655.52</v>
      </c>
      <c r="G257" s="442"/>
      <c r="H257" s="462"/>
      <c r="I257" s="219"/>
      <c r="J257" s="294"/>
      <c r="K257" s="220">
        <v>8</v>
      </c>
      <c r="L257" s="153">
        <v>72517.279999999999</v>
      </c>
      <c r="M257" s="144"/>
      <c r="N257" s="144"/>
      <c r="O257" s="144"/>
      <c r="P257" s="221">
        <v>16576.439999999999</v>
      </c>
      <c r="Q257" s="144"/>
      <c r="R257" s="144"/>
      <c r="S257" s="144"/>
      <c r="T257" s="144"/>
      <c r="U257" s="144"/>
      <c r="V257" s="144"/>
      <c r="W257" s="144"/>
      <c r="X257" s="144"/>
      <c r="Y257" s="144"/>
      <c r="Z257" s="144"/>
      <c r="AA257" s="144"/>
      <c r="AB257" s="144"/>
    </row>
    <row r="258" spans="1:28" s="141" customFormat="1" ht="27" x14ac:dyDescent="0.25">
      <c r="A258" s="178">
        <v>12</v>
      </c>
      <c r="B258" s="174" t="s">
        <v>238</v>
      </c>
      <c r="C258" s="285">
        <v>5</v>
      </c>
      <c r="D258" s="151">
        <v>11112.04</v>
      </c>
      <c r="E258" s="151">
        <v>55560.2</v>
      </c>
      <c r="F258" s="441">
        <v>666722.4</v>
      </c>
      <c r="G258" s="442"/>
      <c r="H258" s="463"/>
      <c r="I258" s="219"/>
      <c r="J258" s="294"/>
      <c r="K258" s="220">
        <v>8</v>
      </c>
      <c r="L258" s="153">
        <v>88896.320000000007</v>
      </c>
      <c r="M258" s="144"/>
      <c r="N258" s="144"/>
      <c r="O258" s="144"/>
      <c r="P258" s="221">
        <v>20324.400000000001</v>
      </c>
      <c r="Q258" s="144"/>
      <c r="R258" s="144"/>
      <c r="S258" s="144"/>
      <c r="T258" s="144"/>
      <c r="U258" s="144"/>
      <c r="V258" s="144"/>
      <c r="W258" s="144"/>
      <c r="X258" s="144"/>
      <c r="Y258" s="144"/>
      <c r="Z258" s="144"/>
      <c r="AA258" s="144"/>
      <c r="AB258" s="144"/>
    </row>
    <row r="259" spans="1:28" s="141" customFormat="1" x14ac:dyDescent="0.25">
      <c r="A259" s="371"/>
      <c r="B259" s="372"/>
      <c r="C259" s="150">
        <v>59</v>
      </c>
      <c r="D259" s="373"/>
      <c r="E259" s="374"/>
      <c r="F259" s="374"/>
      <c r="G259" s="375"/>
      <c r="H259" s="152"/>
      <c r="I259" s="219"/>
      <c r="J259" s="262"/>
      <c r="K259" s="223">
        <v>66</v>
      </c>
      <c r="L259" s="153">
        <v>638707.1100000001</v>
      </c>
      <c r="M259" s="144"/>
      <c r="N259" s="144"/>
      <c r="O259" s="144"/>
      <c r="P259" s="221">
        <v>287532.04000000004</v>
      </c>
      <c r="Q259" s="144"/>
      <c r="R259" s="144"/>
      <c r="S259" s="144"/>
      <c r="T259" s="144"/>
      <c r="U259" s="144"/>
      <c r="V259" s="144"/>
      <c r="W259" s="144"/>
      <c r="X259" s="144"/>
      <c r="Y259" s="144"/>
      <c r="Z259" s="144"/>
      <c r="AA259" s="144"/>
      <c r="AB259" s="144"/>
    </row>
    <row r="260" spans="1:28" s="141" customFormat="1" ht="13.5" customHeight="1" x14ac:dyDescent="0.25">
      <c r="A260" s="443" t="s">
        <v>54</v>
      </c>
      <c r="B260" s="444"/>
      <c r="C260" s="444"/>
      <c r="D260" s="464"/>
      <c r="E260" s="258">
        <v>571002.28</v>
      </c>
      <c r="F260" s="465">
        <v>6852027.3600000003</v>
      </c>
      <c r="G260" s="466"/>
      <c r="H260" s="154">
        <v>-32123.559999999939</v>
      </c>
      <c r="I260" s="155"/>
      <c r="J260" s="190"/>
      <c r="K260" s="190"/>
      <c r="L260" s="258">
        <v>638707.11</v>
      </c>
      <c r="M260" s="144"/>
      <c r="N260" s="144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  <c r="Y260" s="144"/>
      <c r="Z260" s="144"/>
      <c r="AA260" s="144"/>
      <c r="AB260" s="144"/>
    </row>
    <row r="261" spans="1:28" s="141" customFormat="1" ht="13.5" customHeight="1" x14ac:dyDescent="0.25">
      <c r="A261" s="354"/>
      <c r="B261" s="355"/>
      <c r="C261" s="355"/>
      <c r="D261" s="355"/>
      <c r="E261" s="355"/>
      <c r="F261" s="355"/>
      <c r="G261" s="356"/>
      <c r="H261" s="154"/>
      <c r="I261" s="155"/>
      <c r="J261" s="190"/>
      <c r="K261" s="190"/>
      <c r="L261" s="190"/>
      <c r="M261" s="144"/>
      <c r="N261" s="144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  <c r="Y261" s="144"/>
      <c r="Z261" s="144"/>
      <c r="AA261" s="144"/>
      <c r="AB261" s="144"/>
    </row>
    <row r="262" spans="1:28" s="141" customFormat="1" ht="13.5" customHeight="1" x14ac:dyDescent="0.25">
      <c r="A262" s="443" t="s">
        <v>264</v>
      </c>
      <c r="B262" s="444"/>
      <c r="C262" s="444"/>
      <c r="D262" s="444"/>
      <c r="E262" s="444"/>
      <c r="F262" s="444"/>
      <c r="G262" s="445"/>
      <c r="H262" s="154"/>
      <c r="I262" s="155"/>
      <c r="J262" s="190"/>
      <c r="K262" s="190"/>
      <c r="L262" s="190"/>
      <c r="M262" s="144"/>
      <c r="N262" s="144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  <c r="Y262" s="144"/>
      <c r="Z262" s="144"/>
      <c r="AA262" s="144"/>
      <c r="AB262" s="144"/>
    </row>
    <row r="263" spans="1:28" s="141" customFormat="1" ht="13.5" customHeight="1" x14ac:dyDescent="0.25">
      <c r="A263" s="446" t="s">
        <v>265</v>
      </c>
      <c r="B263" s="447"/>
      <c r="C263" s="447"/>
      <c r="D263" s="448"/>
      <c r="E263" s="449">
        <v>571002.28</v>
      </c>
      <c r="F263" s="450"/>
      <c r="G263" s="451"/>
      <c r="H263" s="154"/>
      <c r="I263" s="155"/>
      <c r="J263" s="190"/>
      <c r="K263" s="190"/>
      <c r="L263" s="190"/>
      <c r="M263" s="144"/>
      <c r="N263" s="144"/>
      <c r="O263" s="144"/>
      <c r="P263" s="144"/>
      <c r="Q263" s="144"/>
      <c r="R263" s="144"/>
      <c r="S263" s="144"/>
      <c r="T263" s="144"/>
      <c r="U263" s="144"/>
      <c r="V263" s="144"/>
      <c r="W263" s="144"/>
      <c r="X263" s="144"/>
      <c r="Y263" s="144"/>
      <c r="Z263" s="144"/>
      <c r="AA263" s="144"/>
      <c r="AB263" s="144"/>
    </row>
    <row r="264" spans="1:28" s="141" customFormat="1" ht="13.5" customHeight="1" x14ac:dyDescent="0.25">
      <c r="A264" s="446" t="s">
        <v>266</v>
      </c>
      <c r="B264" s="447"/>
      <c r="C264" s="447"/>
      <c r="D264" s="448"/>
      <c r="E264" s="452">
        <v>12</v>
      </c>
      <c r="F264" s="453"/>
      <c r="G264" s="454"/>
      <c r="H264" s="154"/>
      <c r="I264" s="155"/>
      <c r="J264" s="190"/>
      <c r="K264" s="190"/>
      <c r="L264" s="190"/>
      <c r="M264" s="144"/>
      <c r="N264" s="144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  <c r="AA264" s="144"/>
      <c r="AB264" s="144"/>
    </row>
    <row r="265" spans="1:28" s="141" customFormat="1" ht="13.5" customHeight="1" x14ac:dyDescent="0.25">
      <c r="A265" s="455" t="s">
        <v>267</v>
      </c>
      <c r="B265" s="456"/>
      <c r="C265" s="456"/>
      <c r="D265" s="457"/>
      <c r="E265" s="458">
        <v>6852027.3600000003</v>
      </c>
      <c r="F265" s="459"/>
      <c r="G265" s="460"/>
      <c r="H265" s="154"/>
      <c r="I265" s="155"/>
      <c r="J265" s="190"/>
      <c r="K265" s="190"/>
      <c r="L265" s="190"/>
      <c r="M265" s="144"/>
      <c r="N265" s="144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  <c r="Y265" s="144"/>
      <c r="Z265" s="144"/>
      <c r="AA265" s="144"/>
      <c r="AB265" s="144"/>
    </row>
    <row r="266" spans="1:28" s="141" customFormat="1" ht="15" customHeight="1" x14ac:dyDescent="0.25">
      <c r="A266" s="399"/>
      <c r="B266" s="400"/>
      <c r="C266" s="400"/>
      <c r="D266" s="400"/>
      <c r="E266" s="400"/>
      <c r="F266" s="400"/>
      <c r="G266" s="401"/>
      <c r="H266" s="157"/>
      <c r="I266" s="300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144"/>
      <c r="U266" s="144"/>
      <c r="V266" s="144"/>
      <c r="W266" s="144"/>
      <c r="X266" s="144"/>
      <c r="Y266" s="144"/>
      <c r="Z266" s="144"/>
      <c r="AA266" s="144"/>
      <c r="AB266" s="144"/>
    </row>
    <row r="267" spans="1:28" s="141" customFormat="1" ht="21.75" customHeight="1" x14ac:dyDescent="0.25">
      <c r="A267" s="376" t="s">
        <v>330</v>
      </c>
      <c r="B267" s="377"/>
      <c r="C267" s="377"/>
      <c r="D267" s="377"/>
      <c r="E267" s="377"/>
      <c r="F267" s="377"/>
      <c r="G267" s="378"/>
      <c r="H267" s="315"/>
      <c r="I267" s="315"/>
      <c r="J267" s="316"/>
      <c r="K267" s="316"/>
      <c r="L267" s="316"/>
      <c r="M267" s="144"/>
      <c r="N267" s="144"/>
      <c r="O267" s="144"/>
      <c r="P267" s="144"/>
      <c r="Q267" s="144"/>
      <c r="R267" s="144"/>
      <c r="S267" s="144"/>
      <c r="T267" s="144"/>
      <c r="U267" s="144"/>
      <c r="V267" s="144"/>
      <c r="W267" s="144"/>
      <c r="X267" s="144"/>
      <c r="Y267" s="144"/>
      <c r="Z267" s="144"/>
      <c r="AA267" s="144"/>
      <c r="AB267" s="144"/>
    </row>
    <row r="268" spans="1:28" s="141" customFormat="1" ht="28.5" customHeight="1" x14ac:dyDescent="0.25">
      <c r="A268" s="177" t="s">
        <v>42</v>
      </c>
      <c r="B268" s="313" t="s">
        <v>43</v>
      </c>
      <c r="C268" s="313" t="s">
        <v>144</v>
      </c>
      <c r="D268" s="313" t="s">
        <v>44</v>
      </c>
      <c r="E268" s="313" t="s">
        <v>45</v>
      </c>
      <c r="F268" s="379" t="s">
        <v>53</v>
      </c>
      <c r="G268" s="380"/>
      <c r="H268" s="148"/>
      <c r="I268" s="171"/>
      <c r="J268" s="316"/>
      <c r="K268" s="316"/>
      <c r="L268" s="316"/>
      <c r="M268" s="144"/>
      <c r="N268" s="144"/>
      <c r="O268" s="144"/>
      <c r="P268" s="144"/>
      <c r="Q268" s="144"/>
      <c r="R268" s="144"/>
      <c r="S268" s="144"/>
      <c r="T268" s="144"/>
      <c r="U268" s="144"/>
      <c r="V268" s="144"/>
      <c r="W268" s="144"/>
      <c r="X268" s="144"/>
      <c r="Y268" s="144"/>
      <c r="Z268" s="144"/>
      <c r="AA268" s="144"/>
      <c r="AB268" s="144"/>
    </row>
    <row r="269" spans="1:28" s="141" customFormat="1" ht="27" x14ac:dyDescent="0.25">
      <c r="A269" s="178">
        <v>1</v>
      </c>
      <c r="B269" s="173" t="s">
        <v>225</v>
      </c>
      <c r="C269" s="150">
        <v>1</v>
      </c>
      <c r="D269" s="151">
        <v>5103.45</v>
      </c>
      <c r="E269" s="151">
        <f>ROUND(C269*D269,2)</f>
        <v>5103.45</v>
      </c>
      <c r="F269" s="368">
        <f>ROUND(E269*12,2)</f>
        <v>61241.4</v>
      </c>
      <c r="G269" s="369"/>
      <c r="H269" s="152"/>
      <c r="I269" s="219"/>
      <c r="J269" s="294"/>
      <c r="K269" s="220">
        <v>1</v>
      </c>
      <c r="L269" s="153">
        <f>K269*D269</f>
        <v>5103.45</v>
      </c>
      <c r="M269" s="144"/>
      <c r="N269" s="144"/>
      <c r="O269" s="144"/>
      <c r="P269" s="221">
        <v>4659.7</v>
      </c>
      <c r="Q269" s="144"/>
      <c r="R269" s="144"/>
      <c r="S269" s="144"/>
      <c r="T269" s="144"/>
      <c r="U269" s="144"/>
      <c r="V269" s="144"/>
      <c r="W269" s="144"/>
      <c r="X269" s="144"/>
      <c r="Y269" s="144"/>
      <c r="Z269" s="144"/>
      <c r="AA269" s="144"/>
      <c r="AB269" s="144"/>
    </row>
    <row r="270" spans="1:28" s="141" customFormat="1" ht="27" x14ac:dyDescent="0.25">
      <c r="A270" s="178">
        <v>2</v>
      </c>
      <c r="B270" s="173" t="s">
        <v>226</v>
      </c>
      <c r="C270" s="273">
        <v>11</v>
      </c>
      <c r="D270" s="151">
        <v>9032.5400000000009</v>
      </c>
      <c r="E270" s="314">
        <f>(C270*D270)</f>
        <v>99357.94</v>
      </c>
      <c r="F270" s="368">
        <f t="shared" ref="F270:F281" si="5">ROUND(E270*12,2)</f>
        <v>1192295.28</v>
      </c>
      <c r="G270" s="369"/>
      <c r="H270" s="152"/>
      <c r="I270" s="219"/>
      <c r="J270" s="294"/>
      <c r="K270" s="220">
        <v>6</v>
      </c>
      <c r="L270" s="153">
        <f t="shared" ref="L270:L271" si="6">K270*D270</f>
        <v>54195.240000000005</v>
      </c>
      <c r="M270" s="144"/>
      <c r="N270" s="144"/>
      <c r="O270" s="144"/>
      <c r="P270" s="221">
        <v>49536.36</v>
      </c>
      <c r="Q270" s="144"/>
      <c r="R270" s="144"/>
      <c r="S270" s="144"/>
      <c r="T270" s="144"/>
      <c r="U270" s="144"/>
      <c r="V270" s="144"/>
      <c r="W270" s="144"/>
      <c r="X270" s="144"/>
      <c r="Y270" s="144"/>
      <c r="Z270" s="144"/>
      <c r="AA270" s="144"/>
      <c r="AB270" s="144"/>
    </row>
    <row r="271" spans="1:28" s="141" customFormat="1" ht="27" x14ac:dyDescent="0.25">
      <c r="A271" s="178">
        <v>3</v>
      </c>
      <c r="B271" s="173" t="s">
        <v>227</v>
      </c>
      <c r="C271" s="285">
        <v>10</v>
      </c>
      <c r="D271" s="151">
        <v>11079.92</v>
      </c>
      <c r="E271" s="314">
        <f t="shared" ref="E271:E281" si="7">ROUND(C271*D271,2)</f>
        <v>110799.2</v>
      </c>
      <c r="F271" s="368">
        <f t="shared" si="5"/>
        <v>1329590.3999999999</v>
      </c>
      <c r="G271" s="369"/>
      <c r="H271" s="152"/>
      <c r="I271" s="219"/>
      <c r="J271" s="294"/>
      <c r="K271" s="220">
        <v>6</v>
      </c>
      <c r="L271" s="153">
        <f t="shared" si="6"/>
        <v>66479.520000000004</v>
      </c>
      <c r="M271" s="144"/>
      <c r="N271" s="144"/>
      <c r="O271" s="144"/>
      <c r="P271" s="221">
        <v>60780.240000000005</v>
      </c>
      <c r="Q271" s="144"/>
      <c r="R271" s="144"/>
      <c r="S271" s="144"/>
      <c r="T271" s="144"/>
      <c r="U271" s="144"/>
      <c r="V271" s="144"/>
      <c r="W271" s="144"/>
      <c r="X271" s="144"/>
      <c r="Y271" s="144"/>
      <c r="Z271" s="144"/>
      <c r="AA271" s="144"/>
      <c r="AB271" s="144"/>
    </row>
    <row r="272" spans="1:28" s="141" customFormat="1" ht="28" x14ac:dyDescent="0.25">
      <c r="A272" s="178">
        <v>4</v>
      </c>
      <c r="B272" s="310" t="s">
        <v>327</v>
      </c>
      <c r="C272" s="311">
        <v>1</v>
      </c>
      <c r="D272" s="151">
        <v>9064.66</v>
      </c>
      <c r="E272" s="314">
        <f t="shared" si="7"/>
        <v>9064.66</v>
      </c>
      <c r="F272" s="368">
        <f t="shared" si="5"/>
        <v>108775.92</v>
      </c>
      <c r="G272" s="369"/>
      <c r="H272" s="152"/>
      <c r="I272" s="219"/>
      <c r="J272" s="294"/>
      <c r="K272" s="220"/>
      <c r="L272" s="153"/>
      <c r="M272" s="144"/>
      <c r="N272" s="144"/>
      <c r="O272" s="144"/>
      <c r="P272" s="221"/>
      <c r="Q272" s="144"/>
      <c r="R272" s="144"/>
      <c r="S272" s="144"/>
      <c r="T272" s="144"/>
      <c r="U272" s="144"/>
      <c r="V272" s="144"/>
      <c r="W272" s="144"/>
      <c r="X272" s="144"/>
      <c r="Y272" s="144"/>
      <c r="Z272" s="144"/>
      <c r="AA272" s="144"/>
      <c r="AB272" s="144"/>
    </row>
    <row r="273" spans="1:28" s="141" customFormat="1" ht="28" x14ac:dyDescent="0.25">
      <c r="A273" s="299" t="s">
        <v>26</v>
      </c>
      <c r="B273" s="298" t="s">
        <v>328</v>
      </c>
      <c r="C273" s="273">
        <v>2</v>
      </c>
      <c r="D273" s="317">
        <v>9032.5400000000009</v>
      </c>
      <c r="E273" s="317">
        <f t="shared" si="7"/>
        <v>18065.080000000002</v>
      </c>
      <c r="F273" s="381">
        <f t="shared" si="5"/>
        <v>216780.96</v>
      </c>
      <c r="G273" s="382"/>
      <c r="H273" s="152"/>
      <c r="I273" s="219"/>
      <c r="J273" s="294"/>
      <c r="K273" s="220">
        <v>6</v>
      </c>
      <c r="L273" s="153">
        <f t="shared" ref="L273:L279" si="8">K273*D273</f>
        <v>54195.240000000005</v>
      </c>
      <c r="M273" s="144"/>
      <c r="N273" s="144"/>
      <c r="O273" s="144"/>
      <c r="P273" s="221">
        <v>49729.319999999992</v>
      </c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  <c r="AA273" s="144"/>
      <c r="AB273" s="144"/>
    </row>
    <row r="274" spans="1:28" s="141" customFormat="1" ht="27" x14ac:dyDescent="0.25">
      <c r="A274" s="299">
        <v>5</v>
      </c>
      <c r="B274" s="298" t="s">
        <v>227</v>
      </c>
      <c r="C274" s="273">
        <v>2</v>
      </c>
      <c r="D274" s="317">
        <v>11079.92</v>
      </c>
      <c r="E274" s="317">
        <f t="shared" si="7"/>
        <v>22159.84</v>
      </c>
      <c r="F274" s="381">
        <f t="shared" si="5"/>
        <v>265918.08000000002</v>
      </c>
      <c r="G274" s="382"/>
      <c r="H274" s="152"/>
      <c r="I274" s="219"/>
      <c r="J274" s="294"/>
      <c r="K274" s="220">
        <v>6</v>
      </c>
      <c r="L274" s="153">
        <f t="shared" si="8"/>
        <v>66479.520000000004</v>
      </c>
      <c r="M274" s="144"/>
      <c r="N274" s="144"/>
      <c r="O274" s="144"/>
      <c r="P274" s="221">
        <v>60973.200000000004</v>
      </c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  <c r="AA274" s="144"/>
      <c r="AB274" s="144"/>
    </row>
    <row r="275" spans="1:28" s="141" customFormat="1" ht="27" x14ac:dyDescent="0.25">
      <c r="A275" s="178">
        <v>6</v>
      </c>
      <c r="B275" s="173" t="s">
        <v>230</v>
      </c>
      <c r="C275" s="285">
        <v>0</v>
      </c>
      <c r="D275" s="151">
        <v>8846.06</v>
      </c>
      <c r="E275" s="314">
        <f t="shared" si="7"/>
        <v>0</v>
      </c>
      <c r="F275" s="368">
        <f t="shared" si="5"/>
        <v>0</v>
      </c>
      <c r="G275" s="369"/>
      <c r="H275" s="152"/>
      <c r="I275" s="219"/>
      <c r="J275" s="294"/>
      <c r="K275" s="220">
        <v>1</v>
      </c>
      <c r="L275" s="153">
        <f t="shared" si="8"/>
        <v>8846.06</v>
      </c>
      <c r="M275" s="144"/>
      <c r="N275" s="144"/>
      <c r="O275" s="144"/>
      <c r="P275" s="221">
        <v>8088.68</v>
      </c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  <c r="AA275" s="144"/>
      <c r="AB275" s="144"/>
    </row>
    <row r="276" spans="1:28" s="141" customFormat="1" ht="27" x14ac:dyDescent="0.25">
      <c r="A276" s="178">
        <v>7</v>
      </c>
      <c r="B276" s="173" t="s">
        <v>231</v>
      </c>
      <c r="C276" s="285">
        <v>2</v>
      </c>
      <c r="D276" s="151">
        <v>4097.42</v>
      </c>
      <c r="E276" s="314">
        <f t="shared" si="7"/>
        <v>8194.84</v>
      </c>
      <c r="F276" s="368">
        <f t="shared" si="5"/>
        <v>98338.08</v>
      </c>
      <c r="G276" s="369"/>
      <c r="H276" s="152"/>
      <c r="I276" s="219"/>
      <c r="J276" s="294"/>
      <c r="K276" s="220">
        <v>2</v>
      </c>
      <c r="L276" s="153">
        <f t="shared" si="8"/>
        <v>8194.84</v>
      </c>
      <c r="M276" s="144"/>
      <c r="N276" s="144">
        <v>3747.41</v>
      </c>
      <c r="O276" s="144"/>
      <c r="P276" s="221">
        <f>K276*N276</f>
        <v>7494.82</v>
      </c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  <c r="AA276" s="144"/>
      <c r="AB276" s="144"/>
    </row>
    <row r="277" spans="1:28" s="141" customFormat="1" ht="27" x14ac:dyDescent="0.25">
      <c r="A277" s="178">
        <v>8</v>
      </c>
      <c r="B277" s="173" t="s">
        <v>232</v>
      </c>
      <c r="C277" s="285">
        <v>1</v>
      </c>
      <c r="D277" s="151">
        <v>5121.1099999999997</v>
      </c>
      <c r="E277" s="314">
        <f t="shared" si="7"/>
        <v>5121.1099999999997</v>
      </c>
      <c r="F277" s="368">
        <f t="shared" si="5"/>
        <v>61453.32</v>
      </c>
      <c r="G277" s="369"/>
      <c r="H277" s="152"/>
      <c r="I277" s="219"/>
      <c r="J277" s="294"/>
      <c r="K277" s="220">
        <v>2</v>
      </c>
      <c r="L277" s="153">
        <f t="shared" si="8"/>
        <v>10242.219999999999</v>
      </c>
      <c r="M277" s="144"/>
      <c r="N277" s="144">
        <v>4684.4399999999996</v>
      </c>
      <c r="O277" s="144"/>
      <c r="P277" s="221">
        <f>K277*N277</f>
        <v>9368.8799999999992</v>
      </c>
      <c r="Q277" s="144"/>
      <c r="R277" s="144"/>
      <c r="S277" s="144"/>
      <c r="T277" s="144"/>
      <c r="U277" s="144"/>
      <c r="V277" s="144"/>
      <c r="W277" s="144"/>
      <c r="X277" s="144"/>
      <c r="Y277" s="144"/>
      <c r="Z277" s="144"/>
      <c r="AA277" s="144"/>
      <c r="AB277" s="144"/>
    </row>
    <row r="278" spans="1:28" s="141" customFormat="1" ht="27" x14ac:dyDescent="0.25">
      <c r="A278" s="178">
        <v>9</v>
      </c>
      <c r="B278" s="174" t="s">
        <v>235</v>
      </c>
      <c r="C278" s="285">
        <v>8</v>
      </c>
      <c r="D278" s="151">
        <v>9032.5400000000009</v>
      </c>
      <c r="E278" s="314">
        <f t="shared" si="7"/>
        <v>72260.320000000007</v>
      </c>
      <c r="F278" s="368">
        <f t="shared" si="5"/>
        <v>867123.84</v>
      </c>
      <c r="G278" s="369"/>
      <c r="H278" s="370" t="s">
        <v>219</v>
      </c>
      <c r="I278" s="219"/>
      <c r="J278" s="294"/>
      <c r="K278" s="153">
        <v>9</v>
      </c>
      <c r="L278" s="153">
        <f t="shared" si="8"/>
        <v>81292.860000000015</v>
      </c>
      <c r="M278" s="144"/>
      <c r="N278" s="144"/>
      <c r="O278" s="144"/>
      <c r="P278" s="221"/>
      <c r="Q278" s="144"/>
      <c r="R278" s="144"/>
      <c r="S278" s="144"/>
      <c r="T278" s="144"/>
      <c r="U278" s="144"/>
      <c r="V278" s="144"/>
      <c r="W278" s="144"/>
      <c r="X278" s="144"/>
      <c r="Y278" s="144"/>
      <c r="Z278" s="144"/>
      <c r="AA278" s="144"/>
      <c r="AB278" s="144"/>
    </row>
    <row r="279" spans="1:28" s="141" customFormat="1" ht="27" x14ac:dyDescent="0.25">
      <c r="A279" s="178">
        <v>10</v>
      </c>
      <c r="B279" s="174" t="s">
        <v>236</v>
      </c>
      <c r="C279" s="285">
        <v>10</v>
      </c>
      <c r="D279" s="151">
        <v>11079.92</v>
      </c>
      <c r="E279" s="314">
        <f t="shared" si="7"/>
        <v>110799.2</v>
      </c>
      <c r="F279" s="368">
        <f t="shared" si="5"/>
        <v>1329590.3999999999</v>
      </c>
      <c r="G279" s="369"/>
      <c r="H279" s="370"/>
      <c r="I279" s="219"/>
      <c r="J279" s="294"/>
      <c r="K279" s="153">
        <v>11</v>
      </c>
      <c r="L279" s="153">
        <f t="shared" si="8"/>
        <v>121879.12</v>
      </c>
      <c r="M279" s="144"/>
      <c r="N279" s="144"/>
      <c r="O279" s="144"/>
      <c r="P279" s="221"/>
      <c r="Q279" s="144"/>
      <c r="R279" s="144"/>
      <c r="S279" s="144"/>
      <c r="T279" s="144"/>
      <c r="U279" s="144"/>
      <c r="V279" s="144"/>
      <c r="W279" s="144"/>
      <c r="X279" s="144"/>
      <c r="Y279" s="144"/>
      <c r="Z279" s="144"/>
      <c r="AA279" s="144"/>
      <c r="AB279" s="144"/>
    </row>
    <row r="280" spans="1:28" s="141" customFormat="1" ht="27" x14ac:dyDescent="0.25">
      <c r="A280" s="178">
        <v>11</v>
      </c>
      <c r="B280" s="174" t="s">
        <v>237</v>
      </c>
      <c r="C280" s="285">
        <v>6</v>
      </c>
      <c r="D280" s="151">
        <v>9064.66</v>
      </c>
      <c r="E280" s="314">
        <f t="shared" si="7"/>
        <v>54387.96</v>
      </c>
      <c r="F280" s="368">
        <f t="shared" si="5"/>
        <v>652655.52</v>
      </c>
      <c r="G280" s="369"/>
      <c r="H280" s="370"/>
      <c r="I280" s="219"/>
      <c r="J280" s="294"/>
      <c r="K280" s="220">
        <v>8</v>
      </c>
      <c r="L280" s="153">
        <f>K280*D280</f>
        <v>72517.279999999999</v>
      </c>
      <c r="M280" s="144"/>
      <c r="N280" s="144"/>
      <c r="O280" s="144"/>
      <c r="P280" s="221">
        <v>16576.439999999999</v>
      </c>
      <c r="Q280" s="144"/>
      <c r="R280" s="144"/>
      <c r="S280" s="144"/>
      <c r="T280" s="144"/>
      <c r="U280" s="144"/>
      <c r="V280" s="144"/>
      <c r="W280" s="144"/>
      <c r="X280" s="144"/>
      <c r="Y280" s="144"/>
      <c r="Z280" s="144"/>
      <c r="AA280" s="144"/>
      <c r="AB280" s="144"/>
    </row>
    <row r="281" spans="1:28" s="141" customFormat="1" ht="27" x14ac:dyDescent="0.25">
      <c r="A281" s="178">
        <v>12</v>
      </c>
      <c r="B281" s="174" t="s">
        <v>238</v>
      </c>
      <c r="C281" s="285">
        <v>5</v>
      </c>
      <c r="D281" s="151">
        <v>11112.04</v>
      </c>
      <c r="E281" s="151">
        <f t="shared" si="7"/>
        <v>55560.2</v>
      </c>
      <c r="F281" s="368">
        <f t="shared" si="5"/>
        <v>666722.4</v>
      </c>
      <c r="G281" s="369"/>
      <c r="H281" s="370"/>
      <c r="I281" s="219"/>
      <c r="J281" s="294"/>
      <c r="K281" s="220">
        <v>8</v>
      </c>
      <c r="L281" s="153">
        <f>K281*D281</f>
        <v>88896.320000000007</v>
      </c>
      <c r="M281" s="144"/>
      <c r="N281" s="144"/>
      <c r="O281" s="144"/>
      <c r="P281" s="221">
        <v>20324.400000000001</v>
      </c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  <c r="AB281" s="144"/>
    </row>
    <row r="282" spans="1:28" s="141" customFormat="1" x14ac:dyDescent="0.25">
      <c r="A282" s="371"/>
      <c r="B282" s="372"/>
      <c r="C282" s="150">
        <f>SUM(C269:C281)</f>
        <v>59</v>
      </c>
      <c r="D282" s="373"/>
      <c r="E282" s="374"/>
      <c r="F282" s="374"/>
      <c r="G282" s="375"/>
      <c r="H282" s="152"/>
      <c r="I282" s="219"/>
      <c r="J282" s="222"/>
      <c r="K282" s="223">
        <f>SUM(K269:K281)</f>
        <v>66</v>
      </c>
      <c r="L282" s="153">
        <f>SUM(L269:L281)</f>
        <v>638321.67000000016</v>
      </c>
      <c r="M282" s="144"/>
      <c r="N282" s="144"/>
      <c r="O282" s="144"/>
      <c r="P282" s="221">
        <f>SUM(P269:P281)</f>
        <v>287532.04000000004</v>
      </c>
      <c r="Q282" s="144"/>
      <c r="R282" s="144"/>
      <c r="S282" s="144"/>
      <c r="T282" s="144"/>
      <c r="U282" s="144"/>
      <c r="V282" s="144"/>
      <c r="W282" s="144"/>
      <c r="X282" s="144"/>
      <c r="Y282" s="144"/>
      <c r="Z282" s="144"/>
      <c r="AA282" s="144"/>
      <c r="AB282" s="144"/>
    </row>
    <row r="283" spans="1:28" s="141" customFormat="1" ht="13.5" customHeight="1" x14ac:dyDescent="0.25">
      <c r="A283" s="350" t="s">
        <v>54</v>
      </c>
      <c r="B283" s="351"/>
      <c r="C283" s="351"/>
      <c r="D283" s="351"/>
      <c r="E283" s="258">
        <f>ROUND(SUM(E269:E281),2)</f>
        <v>570873.80000000005</v>
      </c>
      <c r="F283" s="352">
        <f>ROUND(SUM(F269:G281),2)</f>
        <v>6850485.5999999996</v>
      </c>
      <c r="G283" s="353"/>
      <c r="H283" s="154">
        <f>E260-E283</f>
        <v>128.47999999998137</v>
      </c>
      <c r="I283" s="155"/>
      <c r="J283" s="190"/>
      <c r="K283" s="190"/>
      <c r="L283" s="258">
        <f>ROUND(SUM(L269:L281),2)</f>
        <v>638321.67000000004</v>
      </c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  <c r="Y283" s="144"/>
      <c r="Z283" s="144"/>
      <c r="AA283" s="144"/>
      <c r="AB283" s="144"/>
    </row>
    <row r="284" spans="1:28" s="141" customFormat="1" ht="13.5" customHeight="1" x14ac:dyDescent="0.25">
      <c r="A284" s="354"/>
      <c r="B284" s="355"/>
      <c r="C284" s="355"/>
      <c r="D284" s="355"/>
      <c r="E284" s="355"/>
      <c r="F284" s="355"/>
      <c r="G284" s="356"/>
      <c r="H284" s="154"/>
      <c r="I284" s="155"/>
      <c r="J284" s="190"/>
      <c r="K284" s="190"/>
      <c r="L284" s="190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  <c r="AA284" s="144"/>
      <c r="AB284" s="144"/>
    </row>
    <row r="285" spans="1:28" s="141" customFormat="1" ht="13.5" customHeight="1" x14ac:dyDescent="0.25">
      <c r="A285" s="350" t="s">
        <v>264</v>
      </c>
      <c r="B285" s="351"/>
      <c r="C285" s="351"/>
      <c r="D285" s="351"/>
      <c r="E285" s="351"/>
      <c r="F285" s="351"/>
      <c r="G285" s="357"/>
      <c r="H285" s="154"/>
      <c r="I285" s="155"/>
      <c r="J285" s="190"/>
      <c r="K285" s="190"/>
      <c r="L285" s="190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  <c r="Y285" s="144"/>
      <c r="Z285" s="144"/>
      <c r="AA285" s="144"/>
      <c r="AB285" s="144"/>
    </row>
    <row r="286" spans="1:28" s="141" customFormat="1" ht="13.5" customHeight="1" x14ac:dyDescent="0.25">
      <c r="A286" s="358" t="s">
        <v>265</v>
      </c>
      <c r="B286" s="359"/>
      <c r="C286" s="359"/>
      <c r="D286" s="359"/>
      <c r="E286" s="360">
        <f>E283</f>
        <v>570873.80000000005</v>
      </c>
      <c r="F286" s="360"/>
      <c r="G286" s="361"/>
      <c r="H286" s="154"/>
      <c r="I286" s="155"/>
      <c r="J286" s="190"/>
      <c r="K286" s="190"/>
      <c r="L286" s="190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  <c r="Y286" s="144"/>
      <c r="Z286" s="144"/>
      <c r="AA286" s="144"/>
      <c r="AB286" s="144"/>
    </row>
    <row r="287" spans="1:28" s="141" customFormat="1" ht="13.5" customHeight="1" x14ac:dyDescent="0.25">
      <c r="A287" s="358" t="s">
        <v>266</v>
      </c>
      <c r="B287" s="359"/>
      <c r="C287" s="359"/>
      <c r="D287" s="359"/>
      <c r="E287" s="362">
        <v>12</v>
      </c>
      <c r="F287" s="362"/>
      <c r="G287" s="363"/>
      <c r="H287" s="154"/>
      <c r="I287" s="155"/>
      <c r="J287" s="190"/>
      <c r="K287" s="190"/>
      <c r="L287" s="190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  <c r="AA287" s="144"/>
      <c r="AB287" s="144"/>
    </row>
    <row r="288" spans="1:28" s="141" customFormat="1" ht="13.5" customHeight="1" x14ac:dyDescent="0.25">
      <c r="A288" s="364" t="s">
        <v>267</v>
      </c>
      <c r="B288" s="365"/>
      <c r="C288" s="365"/>
      <c r="D288" s="365"/>
      <c r="E288" s="366">
        <f>ROUND(E286*E287,2)</f>
        <v>6850485.5999999996</v>
      </c>
      <c r="F288" s="366"/>
      <c r="G288" s="367"/>
      <c r="H288" s="154"/>
      <c r="I288" s="155"/>
      <c r="J288" s="190"/>
      <c r="K288" s="190"/>
      <c r="L288" s="190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  <c r="Y288" s="144"/>
      <c r="Z288" s="144"/>
      <c r="AA288" s="144"/>
      <c r="AB288" s="144"/>
    </row>
    <row r="289" spans="1:28" s="141" customFormat="1" ht="21.75" customHeight="1" x14ac:dyDescent="0.25">
      <c r="A289" s="391" t="s">
        <v>336</v>
      </c>
      <c r="B289" s="392"/>
      <c r="C289" s="392"/>
      <c r="D289" s="392"/>
      <c r="E289" s="392"/>
      <c r="F289" s="392"/>
      <c r="G289" s="393"/>
      <c r="H289" s="226"/>
      <c r="I289" s="226"/>
      <c r="J289" s="224"/>
      <c r="K289" s="224"/>
      <c r="L289" s="22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  <c r="AA289" s="144"/>
      <c r="AB289" s="144"/>
    </row>
    <row r="290" spans="1:28" s="141" customFormat="1" ht="28.5" customHeight="1" x14ac:dyDescent="0.25">
      <c r="A290" s="177" t="s">
        <v>42</v>
      </c>
      <c r="B290" s="208" t="s">
        <v>43</v>
      </c>
      <c r="C290" s="208" t="s">
        <v>144</v>
      </c>
      <c r="D290" s="208" t="s">
        <v>44</v>
      </c>
      <c r="E290" s="208" t="s">
        <v>45</v>
      </c>
      <c r="F290" s="379" t="s">
        <v>53</v>
      </c>
      <c r="G290" s="380"/>
      <c r="H290" s="148"/>
      <c r="I290" s="171"/>
      <c r="J290" s="149"/>
      <c r="K290" s="149"/>
      <c r="L290" s="149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  <c r="AA290" s="144"/>
      <c r="AB290" s="144"/>
    </row>
    <row r="291" spans="1:28" s="141" customFormat="1" ht="27" x14ac:dyDescent="0.25">
      <c r="A291" s="178">
        <v>1</v>
      </c>
      <c r="B291" s="173" t="s">
        <v>225</v>
      </c>
      <c r="C291" s="150">
        <v>1</v>
      </c>
      <c r="D291" s="151">
        <f>'44 Diurno Desarm '!J134</f>
        <v>5632.8</v>
      </c>
      <c r="E291" s="151">
        <f>ROUND(C291*D291,2)</f>
        <v>5632.8</v>
      </c>
      <c r="F291" s="368">
        <f>ROUND(E291*12,2)</f>
        <v>67593.600000000006</v>
      </c>
      <c r="G291" s="369"/>
      <c r="H291" s="152"/>
      <c r="I291" s="219"/>
      <c r="J291" s="294"/>
      <c r="K291" s="220">
        <v>1</v>
      </c>
      <c r="L291" s="153">
        <f>K291*D291</f>
        <v>5632.8</v>
      </c>
      <c r="M291" s="144"/>
      <c r="N291" s="144"/>
      <c r="O291" s="144"/>
      <c r="P291" s="221">
        <v>4659.7</v>
      </c>
      <c r="Q291" s="144"/>
      <c r="R291" s="144"/>
      <c r="S291" s="144"/>
      <c r="T291" s="144"/>
      <c r="U291" s="144"/>
      <c r="V291" s="144"/>
      <c r="W291" s="144"/>
      <c r="X291" s="144"/>
      <c r="Y291" s="144"/>
      <c r="Z291" s="144"/>
      <c r="AA291" s="144"/>
      <c r="AB291" s="144"/>
    </row>
    <row r="292" spans="1:28" s="141" customFormat="1" ht="27" x14ac:dyDescent="0.25">
      <c r="A292" s="522">
        <v>2</v>
      </c>
      <c r="B292" s="335" t="s">
        <v>226</v>
      </c>
      <c r="C292" s="526">
        <v>11</v>
      </c>
      <c r="D292" s="337">
        <f>'12 x 36 Diurno Desarm'!J134</f>
        <v>9985.44</v>
      </c>
      <c r="E292" s="523">
        <f>(C292*D292)</f>
        <v>109839.84000000001</v>
      </c>
      <c r="F292" s="524">
        <f t="shared" ref="F292:F303" si="9">ROUND(E292*12,2)</f>
        <v>1318078.08</v>
      </c>
      <c r="G292" s="525"/>
      <c r="H292" s="152"/>
      <c r="I292" s="219"/>
      <c r="J292" s="294"/>
      <c r="K292" s="220">
        <v>6</v>
      </c>
      <c r="L292" s="153">
        <f t="shared" ref="L292:L301" si="10">K292*D292</f>
        <v>59912.639999999999</v>
      </c>
      <c r="M292" s="144"/>
      <c r="N292" s="144"/>
      <c r="O292" s="144"/>
      <c r="P292" s="221">
        <v>49536.36</v>
      </c>
      <c r="Q292" s="144"/>
      <c r="R292" s="144"/>
      <c r="S292" s="144"/>
      <c r="T292" s="144"/>
      <c r="U292" s="144"/>
      <c r="V292" s="144"/>
      <c r="W292" s="144"/>
      <c r="X292" s="144"/>
      <c r="Y292" s="144"/>
      <c r="Z292" s="144"/>
      <c r="AA292" s="144"/>
      <c r="AB292" s="144"/>
    </row>
    <row r="293" spans="1:28" s="141" customFormat="1" ht="27" x14ac:dyDescent="0.25">
      <c r="A293" s="336">
        <v>3</v>
      </c>
      <c r="B293" s="335" t="s">
        <v>227</v>
      </c>
      <c r="C293" s="334">
        <v>10</v>
      </c>
      <c r="D293" s="527">
        <f>'12 x 36 Noturno Desarm'!J134</f>
        <v>12256.54</v>
      </c>
      <c r="E293" s="527">
        <f t="shared" ref="E293:E303" si="11">ROUND(C293*D293,2)</f>
        <v>122565.4</v>
      </c>
      <c r="F293" s="528">
        <f t="shared" si="9"/>
        <v>1470784.8</v>
      </c>
      <c r="G293" s="529"/>
      <c r="H293" s="152"/>
      <c r="I293" s="219"/>
      <c r="J293" s="294"/>
      <c r="K293" s="220">
        <v>6</v>
      </c>
      <c r="L293" s="153">
        <f t="shared" si="10"/>
        <v>73539.240000000005</v>
      </c>
      <c r="M293" s="144"/>
      <c r="N293" s="144"/>
      <c r="O293" s="144"/>
      <c r="P293" s="221">
        <v>60780.240000000005</v>
      </c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  <c r="AA293" s="144"/>
      <c r="AB293" s="144"/>
    </row>
    <row r="294" spans="1:28" s="141" customFormat="1" ht="28" x14ac:dyDescent="0.25">
      <c r="A294" s="336">
        <v>4</v>
      </c>
      <c r="B294" s="338" t="s">
        <v>327</v>
      </c>
      <c r="C294" s="339">
        <v>1</v>
      </c>
      <c r="D294" s="337">
        <f>'12 x 36 Diurno Arm'!J134</f>
        <v>10020.82</v>
      </c>
      <c r="E294" s="337">
        <f t="shared" si="11"/>
        <v>10020.82</v>
      </c>
      <c r="F294" s="386">
        <f t="shared" si="9"/>
        <v>120249.84</v>
      </c>
      <c r="G294" s="387"/>
      <c r="H294" s="152"/>
      <c r="I294" s="219"/>
      <c r="J294" s="294"/>
      <c r="K294" s="220"/>
      <c r="L294" s="153"/>
      <c r="M294" s="144"/>
      <c r="N294" s="144"/>
      <c r="O294" s="144"/>
      <c r="P294" s="221"/>
      <c r="Q294" s="144"/>
      <c r="R294" s="144"/>
      <c r="S294" s="144"/>
      <c r="T294" s="144"/>
      <c r="U294" s="144"/>
      <c r="V294" s="144"/>
      <c r="W294" s="144"/>
      <c r="X294" s="144"/>
      <c r="Y294" s="144"/>
      <c r="Z294" s="144"/>
      <c r="AA294" s="144"/>
      <c r="AB294" s="144"/>
    </row>
    <row r="295" spans="1:28" s="141" customFormat="1" ht="28" x14ac:dyDescent="0.25">
      <c r="A295" s="336" t="s">
        <v>26</v>
      </c>
      <c r="B295" s="335" t="s">
        <v>328</v>
      </c>
      <c r="C295" s="526">
        <v>2</v>
      </c>
      <c r="D295" s="337">
        <f>'12 x 36 Diurno Desarm'!J134</f>
        <v>9985.44</v>
      </c>
      <c r="E295" s="523">
        <f t="shared" si="11"/>
        <v>19970.88</v>
      </c>
      <c r="F295" s="524">
        <f t="shared" si="9"/>
        <v>239650.56</v>
      </c>
      <c r="G295" s="525"/>
      <c r="H295" s="152"/>
      <c r="I295" s="219"/>
      <c r="J295" s="294"/>
      <c r="K295" s="220">
        <v>6</v>
      </c>
      <c r="L295" s="153">
        <f t="shared" si="10"/>
        <v>59912.639999999999</v>
      </c>
      <c r="M295" s="144"/>
      <c r="N295" s="144"/>
      <c r="O295" s="144"/>
      <c r="P295" s="221">
        <v>49729.319999999992</v>
      </c>
      <c r="Q295" s="144"/>
      <c r="R295" s="144"/>
      <c r="S295" s="144"/>
      <c r="T295" s="144"/>
      <c r="U295" s="144"/>
      <c r="V295" s="144"/>
      <c r="W295" s="144"/>
      <c r="X295" s="144"/>
      <c r="Y295" s="144"/>
      <c r="Z295" s="144"/>
      <c r="AA295" s="144"/>
      <c r="AB295" s="144"/>
    </row>
    <row r="296" spans="1:28" s="141" customFormat="1" ht="27" x14ac:dyDescent="0.25">
      <c r="A296" s="522">
        <v>5</v>
      </c>
      <c r="B296" s="335" t="s">
        <v>227</v>
      </c>
      <c r="C296" s="285">
        <v>2</v>
      </c>
      <c r="D296" s="527">
        <f>'12 x 36 Noturno Desarm'!J134</f>
        <v>12256.54</v>
      </c>
      <c r="E296" s="527">
        <f t="shared" si="11"/>
        <v>24513.08</v>
      </c>
      <c r="F296" s="528">
        <f t="shared" si="9"/>
        <v>294156.96000000002</v>
      </c>
      <c r="G296" s="529"/>
      <c r="H296" s="152"/>
      <c r="I296" s="219"/>
      <c r="J296" s="294"/>
      <c r="K296" s="220">
        <v>6</v>
      </c>
      <c r="L296" s="153">
        <f t="shared" si="10"/>
        <v>73539.240000000005</v>
      </c>
      <c r="M296" s="144"/>
      <c r="N296" s="144"/>
      <c r="O296" s="144"/>
      <c r="P296" s="221">
        <v>60973.200000000004</v>
      </c>
      <c r="Q296" s="144"/>
      <c r="R296" s="144"/>
      <c r="S296" s="144"/>
      <c r="T296" s="144"/>
      <c r="U296" s="144"/>
      <c r="V296" s="144"/>
      <c r="W296" s="144"/>
      <c r="X296" s="144"/>
      <c r="Y296" s="144"/>
      <c r="Z296" s="144"/>
      <c r="AA296" s="144"/>
      <c r="AB296" s="144"/>
    </row>
    <row r="297" spans="1:28" s="141" customFormat="1" ht="27" x14ac:dyDescent="0.25">
      <c r="A297" s="336">
        <v>6</v>
      </c>
      <c r="B297" s="335" t="s">
        <v>230</v>
      </c>
      <c r="C297" s="334">
        <v>0</v>
      </c>
      <c r="D297" s="337">
        <f>'12 x 36 Diurno Desarm- 2ª a Sáb'!J134</f>
        <v>9784.1200000000008</v>
      </c>
      <c r="E297" s="337">
        <f t="shared" si="11"/>
        <v>0</v>
      </c>
      <c r="F297" s="386">
        <f t="shared" si="9"/>
        <v>0</v>
      </c>
      <c r="G297" s="387"/>
      <c r="H297" s="152"/>
      <c r="I297" s="219"/>
      <c r="J297" s="294"/>
      <c r="K297" s="220">
        <v>1</v>
      </c>
      <c r="L297" s="153">
        <f t="shared" si="10"/>
        <v>9784.1200000000008</v>
      </c>
      <c r="M297" s="144"/>
      <c r="N297" s="144"/>
      <c r="O297" s="144"/>
      <c r="P297" s="221">
        <v>8088.68</v>
      </c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  <c r="AA297" s="144"/>
      <c r="AB297" s="144"/>
    </row>
    <row r="298" spans="1:28" s="141" customFormat="1" ht="27" x14ac:dyDescent="0.25">
      <c r="A298" s="336">
        <v>7</v>
      </c>
      <c r="B298" s="335" t="s">
        <v>231</v>
      </c>
      <c r="C298" s="334">
        <v>2</v>
      </c>
      <c r="D298" s="337">
        <f>'6 hs Diurno CFTV'!J134</f>
        <v>4509.6099999999997</v>
      </c>
      <c r="E298" s="337">
        <f t="shared" si="11"/>
        <v>9019.2199999999993</v>
      </c>
      <c r="F298" s="386">
        <f t="shared" si="9"/>
        <v>108230.64</v>
      </c>
      <c r="G298" s="387"/>
      <c r="H298" s="152"/>
      <c r="I298" s="219"/>
      <c r="J298" s="294"/>
      <c r="K298" s="220">
        <v>2</v>
      </c>
      <c r="L298" s="153">
        <f t="shared" si="10"/>
        <v>9019.2199999999993</v>
      </c>
      <c r="M298" s="144"/>
      <c r="N298" s="144">
        <v>3747.41</v>
      </c>
      <c r="O298" s="144"/>
      <c r="P298" s="221">
        <f>K298*N298</f>
        <v>7494.82</v>
      </c>
      <c r="Q298" s="144"/>
      <c r="R298" s="144"/>
      <c r="S298" s="144"/>
      <c r="T298" s="144"/>
      <c r="U298" s="144"/>
      <c r="V298" s="144"/>
      <c r="W298" s="144"/>
      <c r="X298" s="144"/>
      <c r="Y298" s="144"/>
      <c r="Z298" s="144"/>
      <c r="AA298" s="144"/>
      <c r="AB298" s="144"/>
    </row>
    <row r="299" spans="1:28" s="141" customFormat="1" ht="27" x14ac:dyDescent="0.25">
      <c r="A299" s="336">
        <v>8</v>
      </c>
      <c r="B299" s="335" t="s">
        <v>232</v>
      </c>
      <c r="C299" s="334">
        <v>1</v>
      </c>
      <c r="D299" s="337">
        <f>'6 hs Noturno CFTV'!J134</f>
        <v>5645.18</v>
      </c>
      <c r="E299" s="337">
        <f t="shared" si="11"/>
        <v>5645.18</v>
      </c>
      <c r="F299" s="386">
        <f t="shared" si="9"/>
        <v>67742.16</v>
      </c>
      <c r="G299" s="387"/>
      <c r="H299" s="152"/>
      <c r="I299" s="219"/>
      <c r="J299" s="294"/>
      <c r="K299" s="220">
        <v>2</v>
      </c>
      <c r="L299" s="153">
        <f t="shared" si="10"/>
        <v>11290.36</v>
      </c>
      <c r="M299" s="144"/>
      <c r="N299" s="144">
        <v>4684.4399999999996</v>
      </c>
      <c r="O299" s="144"/>
      <c r="P299" s="221">
        <f>K299*N299</f>
        <v>9368.8799999999992</v>
      </c>
      <c r="Q299" s="144"/>
      <c r="R299" s="144"/>
      <c r="S299" s="144"/>
      <c r="T299" s="144"/>
      <c r="U299" s="144"/>
      <c r="V299" s="144"/>
      <c r="W299" s="144"/>
      <c r="X299" s="144"/>
      <c r="Y299" s="144"/>
      <c r="Z299" s="144"/>
      <c r="AA299" s="144"/>
      <c r="AB299" s="144"/>
    </row>
    <row r="300" spans="1:28" s="141" customFormat="1" ht="27" x14ac:dyDescent="0.25">
      <c r="A300" s="336">
        <v>9</v>
      </c>
      <c r="B300" s="335" t="s">
        <v>235</v>
      </c>
      <c r="C300" s="334">
        <v>8</v>
      </c>
      <c r="D300" s="337">
        <f>'12 x 36 Diurno Desarm'!J134</f>
        <v>9985.44</v>
      </c>
      <c r="E300" s="337">
        <f t="shared" si="11"/>
        <v>79883.520000000004</v>
      </c>
      <c r="F300" s="386">
        <f t="shared" si="9"/>
        <v>958602.23999999999</v>
      </c>
      <c r="G300" s="387"/>
      <c r="H300" s="370" t="s">
        <v>219</v>
      </c>
      <c r="I300" s="219"/>
      <c r="J300" s="294"/>
      <c r="K300" s="153">
        <v>9</v>
      </c>
      <c r="L300" s="153">
        <f t="shared" si="10"/>
        <v>89868.96</v>
      </c>
      <c r="M300" s="144"/>
      <c r="N300" s="144"/>
      <c r="O300" s="144"/>
      <c r="P300" s="221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  <c r="AB300" s="144"/>
    </row>
    <row r="301" spans="1:28" s="141" customFormat="1" ht="27" x14ac:dyDescent="0.25">
      <c r="A301" s="336">
        <v>10</v>
      </c>
      <c r="B301" s="335" t="s">
        <v>236</v>
      </c>
      <c r="C301" s="334">
        <v>10</v>
      </c>
      <c r="D301" s="337">
        <f>'12 x 36 Noturno Desarm'!J134</f>
        <v>12256.54</v>
      </c>
      <c r="E301" s="337">
        <f t="shared" si="11"/>
        <v>122565.4</v>
      </c>
      <c r="F301" s="386">
        <f t="shared" si="9"/>
        <v>1470784.8</v>
      </c>
      <c r="G301" s="387"/>
      <c r="H301" s="370"/>
      <c r="I301" s="219"/>
      <c r="J301" s="294"/>
      <c r="K301" s="153">
        <v>11</v>
      </c>
      <c r="L301" s="153">
        <f t="shared" si="10"/>
        <v>134821.94</v>
      </c>
      <c r="M301" s="144"/>
      <c r="N301" s="144"/>
      <c r="O301" s="144"/>
      <c r="P301" s="221"/>
      <c r="Q301" s="144"/>
      <c r="R301" s="144"/>
      <c r="S301" s="144"/>
      <c r="T301" s="144"/>
      <c r="U301" s="144"/>
      <c r="V301" s="144"/>
      <c r="W301" s="144"/>
      <c r="X301" s="144"/>
      <c r="Y301" s="144"/>
      <c r="Z301" s="144"/>
      <c r="AA301" s="144"/>
      <c r="AB301" s="144"/>
    </row>
    <row r="302" spans="1:28" s="141" customFormat="1" ht="27" x14ac:dyDescent="0.25">
      <c r="A302" s="178">
        <v>11</v>
      </c>
      <c r="B302" s="174" t="s">
        <v>237</v>
      </c>
      <c r="C302" s="285">
        <v>6</v>
      </c>
      <c r="D302" s="151">
        <f>'12 x 36 Diurno Arm'!J134</f>
        <v>10020.82</v>
      </c>
      <c r="E302" s="272">
        <f t="shared" si="11"/>
        <v>60124.92</v>
      </c>
      <c r="F302" s="368">
        <f t="shared" si="9"/>
        <v>721499.04</v>
      </c>
      <c r="G302" s="369"/>
      <c r="H302" s="370"/>
      <c r="I302" s="219"/>
      <c r="J302" s="294"/>
      <c r="K302" s="220">
        <v>8</v>
      </c>
      <c r="L302" s="153">
        <f>K302*D302</f>
        <v>80166.559999999998</v>
      </c>
      <c r="M302" s="144"/>
      <c r="N302" s="144"/>
      <c r="O302" s="144"/>
      <c r="P302" s="221">
        <v>16576.439999999999</v>
      </c>
      <c r="Q302" s="144"/>
      <c r="R302" s="144"/>
      <c r="S302" s="144"/>
      <c r="T302" s="144"/>
      <c r="U302" s="144"/>
      <c r="V302" s="144"/>
      <c r="W302" s="144"/>
      <c r="X302" s="144"/>
      <c r="Y302" s="144"/>
      <c r="Z302" s="144"/>
      <c r="AA302" s="144"/>
      <c r="AB302" s="144"/>
    </row>
    <row r="303" spans="1:28" s="141" customFormat="1" ht="27" x14ac:dyDescent="0.25">
      <c r="A303" s="178">
        <v>12</v>
      </c>
      <c r="B303" s="174" t="s">
        <v>238</v>
      </c>
      <c r="C303" s="285">
        <v>5</v>
      </c>
      <c r="D303" s="151">
        <f>'12 x 36 Noturno Arm'!J134</f>
        <v>12291.92</v>
      </c>
      <c r="E303" s="151">
        <f t="shared" si="11"/>
        <v>61459.6</v>
      </c>
      <c r="F303" s="368">
        <f t="shared" si="9"/>
        <v>737515.2</v>
      </c>
      <c r="G303" s="369"/>
      <c r="H303" s="370"/>
      <c r="I303" s="219"/>
      <c r="J303" s="294"/>
      <c r="K303" s="220">
        <v>8</v>
      </c>
      <c r="L303" s="153">
        <f>K303*D303</f>
        <v>98335.360000000001</v>
      </c>
      <c r="M303" s="144"/>
      <c r="N303" s="144"/>
      <c r="O303" s="144"/>
      <c r="P303" s="221">
        <v>20324.400000000001</v>
      </c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  <c r="AB303" s="144"/>
    </row>
    <row r="304" spans="1:28" s="141" customFormat="1" x14ac:dyDescent="0.25">
      <c r="A304" s="371"/>
      <c r="B304" s="372"/>
      <c r="C304" s="150">
        <f>SUM(C291:C303)</f>
        <v>59</v>
      </c>
      <c r="D304" s="373"/>
      <c r="E304" s="374"/>
      <c r="F304" s="374"/>
      <c r="G304" s="375"/>
      <c r="H304" s="152"/>
      <c r="I304" s="219"/>
      <c r="J304" s="222"/>
      <c r="K304" s="223">
        <f>SUM(K291:K303)</f>
        <v>66</v>
      </c>
      <c r="L304" s="153">
        <f>SUM(L291:L303)</f>
        <v>705823.08</v>
      </c>
      <c r="M304" s="144"/>
      <c r="N304" s="144"/>
      <c r="O304" s="144"/>
      <c r="P304" s="221">
        <f>SUM(P291:P303)</f>
        <v>287532.04000000004</v>
      </c>
      <c r="Q304" s="144"/>
      <c r="R304" s="144"/>
      <c r="S304" s="144"/>
      <c r="T304" s="144"/>
      <c r="U304" s="144"/>
      <c r="V304" s="144"/>
      <c r="W304" s="144"/>
      <c r="X304" s="144"/>
      <c r="Y304" s="144"/>
      <c r="Z304" s="144"/>
      <c r="AA304" s="144"/>
      <c r="AB304" s="144"/>
    </row>
    <row r="305" spans="1:28" s="141" customFormat="1" ht="13.5" customHeight="1" x14ac:dyDescent="0.25">
      <c r="A305" s="350" t="s">
        <v>54</v>
      </c>
      <c r="B305" s="351"/>
      <c r="C305" s="351"/>
      <c r="D305" s="351"/>
      <c r="E305" s="258">
        <f>ROUND(SUM(E291:E303),2)</f>
        <v>631240.66</v>
      </c>
      <c r="F305" s="352">
        <f>ROUND(SUM(F291:G303),2)</f>
        <v>7574887.9199999999</v>
      </c>
      <c r="G305" s="353"/>
      <c r="H305" s="348">
        <f>E305/E283-1</f>
        <v>0.10574466721016096</v>
      </c>
      <c r="I305" s="155"/>
      <c r="J305" s="190"/>
      <c r="K305" s="190"/>
      <c r="L305" s="258">
        <f>ROUND(SUM(L291:L303),2)</f>
        <v>705823.08</v>
      </c>
      <c r="M305" s="144"/>
      <c r="N305" s="144"/>
      <c r="O305" s="144"/>
      <c r="P305" s="144"/>
      <c r="Q305" s="144"/>
      <c r="R305" s="144"/>
      <c r="S305" s="144"/>
      <c r="T305" s="144"/>
      <c r="U305" s="144"/>
      <c r="V305" s="144"/>
      <c r="W305" s="144"/>
      <c r="X305" s="144"/>
      <c r="Y305" s="144"/>
      <c r="Z305" s="144"/>
      <c r="AA305" s="144"/>
      <c r="AB305" s="144"/>
    </row>
    <row r="306" spans="1:28" s="141" customFormat="1" ht="13.5" customHeight="1" x14ac:dyDescent="0.25">
      <c r="A306" s="354"/>
      <c r="B306" s="355"/>
      <c r="C306" s="355"/>
      <c r="D306" s="355"/>
      <c r="E306" s="355"/>
      <c r="F306" s="355"/>
      <c r="G306" s="356"/>
      <c r="H306" s="154"/>
      <c r="I306" s="155"/>
      <c r="J306" s="190"/>
      <c r="K306" s="190"/>
      <c r="L306" s="190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  <c r="AB306" s="144"/>
    </row>
    <row r="307" spans="1:28" s="141" customFormat="1" ht="13.5" customHeight="1" x14ac:dyDescent="0.25">
      <c r="A307" s="350" t="s">
        <v>264</v>
      </c>
      <c r="B307" s="351"/>
      <c r="C307" s="351"/>
      <c r="D307" s="351"/>
      <c r="E307" s="351"/>
      <c r="F307" s="351"/>
      <c r="G307" s="357"/>
      <c r="H307" s="154"/>
      <c r="I307" s="155"/>
      <c r="J307" s="190"/>
      <c r="K307" s="190"/>
      <c r="L307" s="190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  <c r="Y307" s="144"/>
      <c r="Z307" s="144"/>
      <c r="AA307" s="144"/>
      <c r="AB307" s="144"/>
    </row>
    <row r="308" spans="1:28" s="141" customFormat="1" ht="13.5" customHeight="1" x14ac:dyDescent="0.25">
      <c r="A308" s="358" t="s">
        <v>265</v>
      </c>
      <c r="B308" s="359"/>
      <c r="C308" s="359"/>
      <c r="D308" s="359"/>
      <c r="E308" s="360">
        <f>E305</f>
        <v>631240.66</v>
      </c>
      <c r="F308" s="360"/>
      <c r="G308" s="361"/>
      <c r="H308" s="154"/>
      <c r="I308" s="155"/>
      <c r="J308" s="190"/>
      <c r="K308" s="190"/>
      <c r="L308" s="190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  <c r="Y308" s="144"/>
      <c r="Z308" s="144"/>
      <c r="AA308" s="144"/>
      <c r="AB308" s="144"/>
    </row>
    <row r="309" spans="1:28" s="141" customFormat="1" ht="13.5" customHeight="1" x14ac:dyDescent="0.25">
      <c r="A309" s="358" t="s">
        <v>266</v>
      </c>
      <c r="B309" s="359"/>
      <c r="C309" s="359"/>
      <c r="D309" s="359"/>
      <c r="E309" s="362">
        <v>12</v>
      </c>
      <c r="F309" s="362"/>
      <c r="G309" s="363"/>
      <c r="H309" s="154"/>
      <c r="I309" s="155"/>
      <c r="J309" s="190"/>
      <c r="K309" s="190"/>
      <c r="L309" s="190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  <c r="AA309" s="144"/>
      <c r="AB309" s="144"/>
    </row>
    <row r="310" spans="1:28" s="141" customFormat="1" ht="13.5" customHeight="1" x14ac:dyDescent="0.25">
      <c r="A310" s="364" t="s">
        <v>267</v>
      </c>
      <c r="B310" s="365"/>
      <c r="C310" s="365"/>
      <c r="D310" s="365"/>
      <c r="E310" s="366">
        <f>ROUND(E308*E309,2)</f>
        <v>7574887.9199999999</v>
      </c>
      <c r="F310" s="366"/>
      <c r="G310" s="367"/>
      <c r="H310" s="154"/>
      <c r="I310" s="155"/>
      <c r="J310" s="190"/>
      <c r="K310" s="190"/>
      <c r="L310" s="190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  <c r="Y310" s="144"/>
      <c r="Z310" s="144"/>
      <c r="AA310" s="144"/>
      <c r="AB310" s="144"/>
    </row>
    <row r="311" spans="1:28" s="141" customFormat="1" ht="39" customHeight="1" x14ac:dyDescent="0.25">
      <c r="A311" s="399" t="s">
        <v>224</v>
      </c>
      <c r="B311" s="400"/>
      <c r="C311" s="400"/>
      <c r="D311" s="400"/>
      <c r="E311" s="400"/>
      <c r="F311" s="400"/>
      <c r="G311" s="401"/>
      <c r="H311" s="157"/>
      <c r="I311" s="156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  <c r="Y311" s="144"/>
      <c r="Z311" s="144"/>
      <c r="AA311" s="144"/>
      <c r="AB311" s="144"/>
    </row>
    <row r="312" spans="1:28" s="141" customFormat="1" hidden="1" x14ac:dyDescent="0.25">
      <c r="A312" s="399" t="s">
        <v>233</v>
      </c>
      <c r="B312" s="400"/>
      <c r="C312" s="400"/>
      <c r="D312" s="400"/>
      <c r="E312" s="400"/>
      <c r="F312" s="400"/>
      <c r="G312" s="401"/>
      <c r="H312" s="156"/>
      <c r="I312" s="156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  <c r="Y312" s="144"/>
      <c r="Z312" s="144"/>
      <c r="AA312" s="144"/>
      <c r="AB312" s="144"/>
    </row>
    <row r="313" spans="1:28" s="142" customFormat="1" ht="43.5" hidden="1" customHeight="1" x14ac:dyDescent="0.25">
      <c r="A313" s="396" t="s">
        <v>223</v>
      </c>
      <c r="B313" s="397"/>
      <c r="C313" s="397"/>
      <c r="D313" s="397"/>
      <c r="E313" s="397"/>
      <c r="F313" s="397"/>
      <c r="G313" s="398"/>
      <c r="H313" s="147"/>
      <c r="I313" s="147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  <c r="AB313" s="158"/>
    </row>
    <row r="314" spans="1:28" s="142" customFormat="1" ht="20.25" hidden="1" customHeight="1" x14ac:dyDescent="0.25">
      <c r="A314" s="402" t="s">
        <v>130</v>
      </c>
      <c r="B314" s="403"/>
      <c r="C314" s="403"/>
      <c r="D314" s="403"/>
      <c r="E314" s="403"/>
      <c r="F314" s="403"/>
      <c r="G314" s="404"/>
      <c r="H314" s="159"/>
      <c r="I314" s="147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  <c r="AB314" s="158"/>
    </row>
    <row r="315" spans="1:28" s="142" customFormat="1" ht="18" hidden="1" customHeight="1" x14ac:dyDescent="0.25">
      <c r="A315" s="396" t="s">
        <v>51</v>
      </c>
      <c r="B315" s="397"/>
      <c r="C315" s="397"/>
      <c r="D315" s="397"/>
      <c r="E315" s="397"/>
      <c r="F315" s="397"/>
      <c r="G315" s="398"/>
      <c r="H315" s="147"/>
      <c r="I315" s="147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  <c r="AB315" s="158"/>
    </row>
    <row r="316" spans="1:28" s="142" customFormat="1" hidden="1" x14ac:dyDescent="0.25">
      <c r="A316" s="175"/>
      <c r="B316" s="147"/>
      <c r="C316" s="147"/>
      <c r="D316" s="147"/>
      <c r="E316" s="147"/>
      <c r="F316" s="147"/>
      <c r="G316" s="176"/>
      <c r="H316" s="147"/>
      <c r="I316" s="147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  <c r="AB316" s="158"/>
    </row>
    <row r="317" spans="1:28" s="142" customFormat="1" hidden="1" x14ac:dyDescent="0.25">
      <c r="A317" s="179" t="s">
        <v>148</v>
      </c>
      <c r="B317" s="147"/>
      <c r="C317" s="147"/>
      <c r="D317" s="147"/>
      <c r="E317" s="147"/>
      <c r="F317" s="147"/>
      <c r="G317" s="176"/>
      <c r="H317" s="147"/>
      <c r="I317" s="147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  <c r="AB317" s="158"/>
    </row>
    <row r="318" spans="1:28" s="141" customFormat="1" hidden="1" x14ac:dyDescent="0.25">
      <c r="A318" s="179" t="s">
        <v>197</v>
      </c>
      <c r="B318" s="160"/>
      <c r="C318" s="160"/>
      <c r="D318" s="160"/>
      <c r="E318" s="160"/>
      <c r="F318" s="160"/>
      <c r="G318" s="180"/>
      <c r="H318" s="160"/>
      <c r="I318" s="160"/>
      <c r="J318" s="144"/>
      <c r="K318" s="144"/>
      <c r="L318" s="144"/>
      <c r="M318" s="144"/>
      <c r="N318" s="144"/>
      <c r="O318" s="144"/>
      <c r="P318" s="144"/>
      <c r="Q318" s="144"/>
      <c r="R318" s="144"/>
      <c r="S318" s="144"/>
      <c r="T318" s="144"/>
      <c r="U318" s="144"/>
      <c r="V318" s="144"/>
      <c r="W318" s="144"/>
      <c r="X318" s="144"/>
      <c r="Y318" s="144"/>
      <c r="Z318" s="144"/>
      <c r="AA318" s="144"/>
      <c r="AB318" s="144"/>
    </row>
    <row r="319" spans="1:28" s="141" customFormat="1" hidden="1" x14ac:dyDescent="0.25">
      <c r="A319" s="179" t="s">
        <v>198</v>
      </c>
      <c r="B319" s="160"/>
      <c r="C319" s="160"/>
      <c r="D319" s="160"/>
      <c r="E319" s="160"/>
      <c r="F319" s="160"/>
      <c r="G319" s="180"/>
      <c r="H319" s="160"/>
      <c r="I319" s="160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  <c r="Y319" s="144"/>
      <c r="Z319" s="144"/>
      <c r="AA319" s="144"/>
      <c r="AB319" s="144"/>
    </row>
    <row r="320" spans="1:28" s="141" customFormat="1" hidden="1" x14ac:dyDescent="0.25">
      <c r="A320" s="179" t="s">
        <v>199</v>
      </c>
      <c r="B320" s="160"/>
      <c r="C320" s="160"/>
      <c r="D320" s="160"/>
      <c r="E320" s="160"/>
      <c r="F320" s="160"/>
      <c r="G320" s="180"/>
      <c r="H320" s="160"/>
      <c r="I320" s="160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  <c r="AA320" s="144"/>
      <c r="AB320" s="144"/>
    </row>
    <row r="321" spans="1:28" s="141" customFormat="1" hidden="1" x14ac:dyDescent="0.25">
      <c r="A321" s="179" t="s">
        <v>200</v>
      </c>
      <c r="B321" s="160"/>
      <c r="C321" s="160"/>
      <c r="D321" s="160"/>
      <c r="E321" s="160"/>
      <c r="F321" s="160"/>
      <c r="G321" s="180"/>
      <c r="H321" s="160"/>
      <c r="I321" s="160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  <c r="AA321" s="144"/>
      <c r="AB321" s="144"/>
    </row>
    <row r="322" spans="1:28" s="141" customFormat="1" hidden="1" x14ac:dyDescent="0.25">
      <c r="A322" s="179" t="s">
        <v>201</v>
      </c>
      <c r="B322" s="160"/>
      <c r="C322" s="160"/>
      <c r="D322" s="160"/>
      <c r="E322" s="160"/>
      <c r="F322" s="160"/>
      <c r="G322" s="180"/>
      <c r="H322" s="160"/>
      <c r="I322" s="160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  <c r="AA322" s="144"/>
      <c r="AB322" s="144"/>
    </row>
    <row r="323" spans="1:28" s="142" customFormat="1" ht="16.5" hidden="1" customHeight="1" x14ac:dyDescent="0.25">
      <c r="A323" s="179" t="s">
        <v>188</v>
      </c>
      <c r="B323" s="161"/>
      <c r="C323" s="161"/>
      <c r="D323" s="161"/>
      <c r="E323" s="161"/>
      <c r="F323" s="161"/>
      <c r="G323" s="181"/>
      <c r="H323" s="161"/>
      <c r="I323" s="161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  <c r="AB323" s="158"/>
    </row>
    <row r="324" spans="1:28" s="141" customFormat="1" hidden="1" x14ac:dyDescent="0.25">
      <c r="A324" s="179" t="s">
        <v>202</v>
      </c>
      <c r="B324" s="160"/>
      <c r="C324" s="160"/>
      <c r="D324" s="160"/>
      <c r="E324" s="160"/>
      <c r="F324" s="160"/>
      <c r="G324" s="180"/>
      <c r="H324" s="160"/>
      <c r="I324" s="160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  <c r="AA324" s="144"/>
      <c r="AB324" s="144"/>
    </row>
    <row r="325" spans="1:28" s="141" customFormat="1" hidden="1" x14ac:dyDescent="0.25">
      <c r="A325" s="179"/>
      <c r="B325" s="160"/>
      <c r="C325" s="160"/>
      <c r="D325" s="160"/>
      <c r="E325" s="160"/>
      <c r="F325" s="160"/>
      <c r="G325" s="180"/>
      <c r="H325" s="160"/>
      <c r="I325" s="160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  <c r="AA325" s="144"/>
      <c r="AB325" s="144"/>
    </row>
    <row r="326" spans="1:28" s="141" customFormat="1" hidden="1" x14ac:dyDescent="0.25">
      <c r="A326" s="179" t="s">
        <v>52</v>
      </c>
      <c r="B326" s="160"/>
      <c r="C326" s="160"/>
      <c r="D326" s="160"/>
      <c r="E326" s="160"/>
      <c r="F326" s="160"/>
      <c r="G326" s="180"/>
      <c r="H326" s="160"/>
      <c r="I326" s="160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  <c r="AA326" s="144"/>
      <c r="AB326" s="144"/>
    </row>
    <row r="327" spans="1:28" s="141" customFormat="1" hidden="1" x14ac:dyDescent="0.25">
      <c r="A327" s="179" t="s">
        <v>203</v>
      </c>
      <c r="B327" s="160"/>
      <c r="C327" s="160"/>
      <c r="D327" s="160"/>
      <c r="E327" s="160"/>
      <c r="F327" s="160"/>
      <c r="G327" s="180"/>
      <c r="H327" s="160"/>
      <c r="I327" s="160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  <c r="AA327" s="144"/>
      <c r="AB327" s="144"/>
    </row>
    <row r="328" spans="1:28" s="141" customFormat="1" hidden="1" x14ac:dyDescent="0.25">
      <c r="A328" s="179" t="s">
        <v>204</v>
      </c>
      <c r="B328" s="160"/>
      <c r="C328" s="160"/>
      <c r="D328" s="160"/>
      <c r="E328" s="160"/>
      <c r="F328" s="160"/>
      <c r="G328" s="180"/>
      <c r="H328" s="160"/>
      <c r="I328" s="160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  <c r="AA328" s="144"/>
      <c r="AB328" s="144"/>
    </row>
    <row r="329" spans="1:28" s="141" customFormat="1" hidden="1" x14ac:dyDescent="0.25">
      <c r="A329" s="179" t="s">
        <v>205</v>
      </c>
      <c r="B329" s="160"/>
      <c r="C329" s="160"/>
      <c r="D329" s="160"/>
      <c r="E329" s="160"/>
      <c r="F329" s="160"/>
      <c r="G329" s="180"/>
      <c r="H329" s="160"/>
      <c r="I329" s="160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  <c r="AB329" s="144"/>
    </row>
    <row r="330" spans="1:28" s="141" customFormat="1" hidden="1" x14ac:dyDescent="0.25">
      <c r="A330" s="179" t="s">
        <v>206</v>
      </c>
      <c r="B330" s="160"/>
      <c r="C330" s="160"/>
      <c r="D330" s="160"/>
      <c r="E330" s="160"/>
      <c r="F330" s="160"/>
      <c r="G330" s="180"/>
      <c r="H330" s="160"/>
      <c r="I330" s="160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  <c r="AA330" s="144"/>
      <c r="AB330" s="144"/>
    </row>
    <row r="331" spans="1:28" s="141" customFormat="1" hidden="1" x14ac:dyDescent="0.25">
      <c r="A331" s="179" t="s">
        <v>207</v>
      </c>
      <c r="B331" s="160"/>
      <c r="C331" s="160"/>
      <c r="D331" s="160"/>
      <c r="E331" s="160"/>
      <c r="F331" s="160"/>
      <c r="G331" s="180"/>
      <c r="H331" s="160"/>
      <c r="I331" s="160"/>
      <c r="J331" s="144"/>
      <c r="K331" s="144"/>
      <c r="L331" s="144"/>
      <c r="M331" s="144"/>
      <c r="N331" s="144"/>
      <c r="O331" s="144"/>
      <c r="P331" s="144"/>
      <c r="Q331" s="144"/>
      <c r="R331" s="144"/>
      <c r="S331" s="144"/>
      <c r="T331" s="144"/>
      <c r="U331" s="144"/>
      <c r="V331" s="144"/>
      <c r="W331" s="144"/>
      <c r="X331" s="144"/>
      <c r="Y331" s="144"/>
      <c r="Z331" s="144"/>
      <c r="AA331" s="144"/>
      <c r="AB331" s="144"/>
    </row>
    <row r="332" spans="1:28" s="142" customFormat="1" ht="16.5" hidden="1" customHeight="1" x14ac:dyDescent="0.25">
      <c r="A332" s="182" t="s">
        <v>208</v>
      </c>
      <c r="B332" s="161"/>
      <c r="C332" s="161"/>
      <c r="D332" s="161"/>
      <c r="E332" s="161"/>
      <c r="F332" s="161"/>
      <c r="G332" s="181"/>
      <c r="H332" s="161"/>
      <c r="I332" s="161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</row>
    <row r="333" spans="1:28" s="141" customFormat="1" hidden="1" x14ac:dyDescent="0.25">
      <c r="A333" s="179" t="s">
        <v>209</v>
      </c>
      <c r="B333" s="160"/>
      <c r="C333" s="160"/>
      <c r="D333" s="160"/>
      <c r="E333" s="160"/>
      <c r="F333" s="160"/>
      <c r="G333" s="180"/>
      <c r="H333" s="160"/>
      <c r="I333" s="160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  <c r="AB333" s="144"/>
    </row>
    <row r="334" spans="1:28" s="141" customFormat="1" hidden="1" x14ac:dyDescent="0.25">
      <c r="A334" s="179" t="s">
        <v>200</v>
      </c>
      <c r="B334" s="160"/>
      <c r="C334" s="160"/>
      <c r="D334" s="160"/>
      <c r="E334" s="160"/>
      <c r="F334" s="160"/>
      <c r="G334" s="180"/>
      <c r="H334" s="160"/>
      <c r="I334" s="160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  <c r="AB334" s="144"/>
    </row>
    <row r="335" spans="1:28" s="142" customFormat="1" ht="16.5" hidden="1" customHeight="1" x14ac:dyDescent="0.25">
      <c r="A335" s="179" t="s">
        <v>210</v>
      </c>
      <c r="B335" s="161"/>
      <c r="C335" s="161"/>
      <c r="D335" s="161"/>
      <c r="E335" s="161"/>
      <c r="F335" s="161"/>
      <c r="G335" s="181"/>
      <c r="H335" s="161"/>
      <c r="I335" s="161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</row>
    <row r="336" spans="1:28" s="142" customFormat="1" x14ac:dyDescent="0.25">
      <c r="A336" s="408"/>
      <c r="B336" s="409"/>
      <c r="C336" s="409"/>
      <c r="D336" s="409"/>
      <c r="E336" s="409"/>
      <c r="F336" s="409"/>
      <c r="G336" s="410"/>
      <c r="H336" s="162"/>
      <c r="I336" s="162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</row>
    <row r="337" spans="1:28" s="142" customFormat="1" x14ac:dyDescent="0.25">
      <c r="A337" s="417" t="s">
        <v>234</v>
      </c>
      <c r="B337" s="418"/>
      <c r="C337" s="418"/>
      <c r="D337" s="418"/>
      <c r="E337" s="418"/>
      <c r="F337" s="418"/>
      <c r="G337" s="419"/>
      <c r="H337" s="163"/>
      <c r="I337" s="163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</row>
    <row r="338" spans="1:28" s="141" customFormat="1" x14ac:dyDescent="0.35">
      <c r="A338" s="183"/>
      <c r="B338" s="164"/>
      <c r="C338" s="164"/>
      <c r="D338" s="164"/>
      <c r="E338" s="164"/>
      <c r="F338" s="164"/>
      <c r="G338" s="184"/>
      <c r="H338" s="164"/>
      <c r="I338" s="16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  <c r="AB338" s="144"/>
    </row>
    <row r="339" spans="1:28" s="141" customFormat="1" x14ac:dyDescent="0.35">
      <c r="A339" s="411" t="s">
        <v>149</v>
      </c>
      <c r="B339" s="412"/>
      <c r="C339" s="412"/>
      <c r="D339" s="412"/>
      <c r="E339" s="412"/>
      <c r="F339" s="412"/>
      <c r="G339" s="413"/>
      <c r="H339" s="165"/>
      <c r="I339" s="165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  <c r="AB339" s="144"/>
    </row>
    <row r="340" spans="1:28" s="141" customFormat="1" x14ac:dyDescent="0.35">
      <c r="A340" s="414" t="s">
        <v>147</v>
      </c>
      <c r="B340" s="415"/>
      <c r="C340" s="415"/>
      <c r="D340" s="415"/>
      <c r="E340" s="415"/>
      <c r="F340" s="415"/>
      <c r="G340" s="416"/>
      <c r="H340" s="166"/>
      <c r="I340" s="166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  <c r="AB340" s="144"/>
    </row>
    <row r="341" spans="1:28" s="141" customFormat="1" x14ac:dyDescent="0.35">
      <c r="A341" s="414" t="s">
        <v>310</v>
      </c>
      <c r="B341" s="415"/>
      <c r="C341" s="415"/>
      <c r="D341" s="415"/>
      <c r="E341" s="415"/>
      <c r="F341" s="415"/>
      <c r="G341" s="416"/>
      <c r="H341" s="166"/>
      <c r="I341" s="166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  <c r="AB341" s="144"/>
    </row>
    <row r="342" spans="1:28" s="141" customFormat="1" ht="14" thickBot="1" x14ac:dyDescent="0.4">
      <c r="A342" s="405" t="s">
        <v>41</v>
      </c>
      <c r="B342" s="406"/>
      <c r="C342" s="406"/>
      <c r="D342" s="406"/>
      <c r="E342" s="406"/>
      <c r="F342" s="406"/>
      <c r="G342" s="407"/>
      <c r="H342" s="166"/>
      <c r="I342" s="166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  <c r="AB342" s="144"/>
    </row>
  </sheetData>
  <mergeCells count="393">
    <mergeCell ref="A221:D221"/>
    <mergeCell ref="E221:G221"/>
    <mergeCell ref="H210:H213"/>
    <mergeCell ref="F211:G211"/>
    <mergeCell ref="F212:G212"/>
    <mergeCell ref="F213:G213"/>
    <mergeCell ref="A214:B214"/>
    <mergeCell ref="D214:G214"/>
    <mergeCell ref="A215:D215"/>
    <mergeCell ref="F215:G215"/>
    <mergeCell ref="A216:G216"/>
    <mergeCell ref="A262:G262"/>
    <mergeCell ref="A263:D263"/>
    <mergeCell ref="E263:G263"/>
    <mergeCell ref="A264:D264"/>
    <mergeCell ref="E264:G264"/>
    <mergeCell ref="A265:D265"/>
    <mergeCell ref="E265:G265"/>
    <mergeCell ref="A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A217:G217"/>
    <mergeCell ref="A218:G218"/>
    <mergeCell ref="A219:D219"/>
    <mergeCell ref="E219:G219"/>
    <mergeCell ref="A220:D220"/>
    <mergeCell ref="E220:G220"/>
    <mergeCell ref="H255:H258"/>
    <mergeCell ref="F256:G256"/>
    <mergeCell ref="F257:G257"/>
    <mergeCell ref="F258:G258"/>
    <mergeCell ref="A259:B259"/>
    <mergeCell ref="D259:G259"/>
    <mergeCell ref="A260:D260"/>
    <mergeCell ref="F260:G260"/>
    <mergeCell ref="A261:G261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H233:H236"/>
    <mergeCell ref="F234:G234"/>
    <mergeCell ref="F235:G235"/>
    <mergeCell ref="F236:G236"/>
    <mergeCell ref="A237:B237"/>
    <mergeCell ref="D237:G237"/>
    <mergeCell ref="A238:D238"/>
    <mergeCell ref="F238:G238"/>
    <mergeCell ref="A239:G239"/>
    <mergeCell ref="A198:D198"/>
    <mergeCell ref="E198:G198"/>
    <mergeCell ref="A266:G266"/>
    <mergeCell ref="A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A240:G240"/>
    <mergeCell ref="A241:D241"/>
    <mergeCell ref="E241:G241"/>
    <mergeCell ref="A242:D242"/>
    <mergeCell ref="E242:G242"/>
    <mergeCell ref="A243:D243"/>
    <mergeCell ref="E243:G243"/>
    <mergeCell ref="A244:G244"/>
    <mergeCell ref="A245:G245"/>
    <mergeCell ref="F246:G246"/>
    <mergeCell ref="A192:G192"/>
    <mergeCell ref="A193:D193"/>
    <mergeCell ref="E193:G193"/>
    <mergeCell ref="A194:G194"/>
    <mergeCell ref="A195:G195"/>
    <mergeCell ref="A196:D196"/>
    <mergeCell ref="E196:G196"/>
    <mergeCell ref="A197:D197"/>
    <mergeCell ref="E197:G197"/>
    <mergeCell ref="F186:G186"/>
    <mergeCell ref="H186:H189"/>
    <mergeCell ref="F187:G187"/>
    <mergeCell ref="F188:G188"/>
    <mergeCell ref="F189:G189"/>
    <mergeCell ref="A190:B190"/>
    <mergeCell ref="D190:G190"/>
    <mergeCell ref="A191:D191"/>
    <mergeCell ref="F191:G191"/>
    <mergeCell ref="A155:D155"/>
    <mergeCell ref="E155:G155"/>
    <mergeCell ref="A156:G156"/>
    <mergeCell ref="A151:G151"/>
    <mergeCell ref="A152:G152"/>
    <mergeCell ref="A153:D153"/>
    <mergeCell ref="E153:G153"/>
    <mergeCell ref="A154:D154"/>
    <mergeCell ref="E154:G154"/>
    <mergeCell ref="F144:G144"/>
    <mergeCell ref="F145:G145"/>
    <mergeCell ref="H145:H148"/>
    <mergeCell ref="F146:G146"/>
    <mergeCell ref="F147:G147"/>
    <mergeCell ref="F148:G148"/>
    <mergeCell ref="A149:B149"/>
    <mergeCell ref="D149:G149"/>
    <mergeCell ref="A150:D150"/>
    <mergeCell ref="F150:G150"/>
    <mergeCell ref="A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A105:G105"/>
    <mergeCell ref="A106:G106"/>
    <mergeCell ref="A107:G107"/>
    <mergeCell ref="A108:D108"/>
    <mergeCell ref="E108:G108"/>
    <mergeCell ref="A109:D109"/>
    <mergeCell ref="E109:G109"/>
    <mergeCell ref="A110:D110"/>
    <mergeCell ref="E110:G110"/>
    <mergeCell ref="F98:G98"/>
    <mergeCell ref="F99:G99"/>
    <mergeCell ref="H99:H102"/>
    <mergeCell ref="F100:G100"/>
    <mergeCell ref="F101:G101"/>
    <mergeCell ref="F102:G102"/>
    <mergeCell ref="A103:B103"/>
    <mergeCell ref="D103:G103"/>
    <mergeCell ref="A104:D104"/>
    <mergeCell ref="F104:G104"/>
    <mergeCell ref="A89:G89"/>
    <mergeCell ref="F90:G90"/>
    <mergeCell ref="F91:G91"/>
    <mergeCell ref="F92:G92"/>
    <mergeCell ref="F93:G93"/>
    <mergeCell ref="F94:G94"/>
    <mergeCell ref="F95:G95"/>
    <mergeCell ref="F96:G96"/>
    <mergeCell ref="F97:G97"/>
    <mergeCell ref="A128:G128"/>
    <mergeCell ref="A129:G129"/>
    <mergeCell ref="A130:G130"/>
    <mergeCell ref="A131:D131"/>
    <mergeCell ref="E131:G131"/>
    <mergeCell ref="A132:D132"/>
    <mergeCell ref="E132:G132"/>
    <mergeCell ref="A133:D133"/>
    <mergeCell ref="E133:G133"/>
    <mergeCell ref="F121:G121"/>
    <mergeCell ref="F122:G122"/>
    <mergeCell ref="H122:H125"/>
    <mergeCell ref="F123:G123"/>
    <mergeCell ref="F124:G124"/>
    <mergeCell ref="F125:G125"/>
    <mergeCell ref="A126:B126"/>
    <mergeCell ref="D126:G126"/>
    <mergeCell ref="A127:D127"/>
    <mergeCell ref="F127:G127"/>
    <mergeCell ref="A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A87:D87"/>
    <mergeCell ref="E87:G87"/>
    <mergeCell ref="D80:G80"/>
    <mergeCell ref="A81:D81"/>
    <mergeCell ref="F81:G81"/>
    <mergeCell ref="A82:G82"/>
    <mergeCell ref="A83:G83"/>
    <mergeCell ref="A84:G84"/>
    <mergeCell ref="A85:D85"/>
    <mergeCell ref="E85:G85"/>
    <mergeCell ref="A86:D86"/>
    <mergeCell ref="E86:G86"/>
    <mergeCell ref="F18:G18"/>
    <mergeCell ref="F19:G19"/>
    <mergeCell ref="F20:G20"/>
    <mergeCell ref="A25:D25"/>
    <mergeCell ref="F25:G25"/>
    <mergeCell ref="A289:G289"/>
    <mergeCell ref="H20:H23"/>
    <mergeCell ref="F21:G21"/>
    <mergeCell ref="F22:G22"/>
    <mergeCell ref="F23:G23"/>
    <mergeCell ref="A24:B24"/>
    <mergeCell ref="D24:G24"/>
    <mergeCell ref="A26:G26"/>
    <mergeCell ref="F27:G27"/>
    <mergeCell ref="F28:G28"/>
    <mergeCell ref="F29:G29"/>
    <mergeCell ref="F30:G30"/>
    <mergeCell ref="F31:G31"/>
    <mergeCell ref="F32:G32"/>
    <mergeCell ref="A40:B40"/>
    <mergeCell ref="D40:G40"/>
    <mergeCell ref="A41:D41"/>
    <mergeCell ref="F41:G41"/>
    <mergeCell ref="F33:G33"/>
    <mergeCell ref="J42:L42"/>
    <mergeCell ref="F290:G290"/>
    <mergeCell ref="F295:G295"/>
    <mergeCell ref="F296:G296"/>
    <mergeCell ref="F297:G297"/>
    <mergeCell ref="F291:G291"/>
    <mergeCell ref="F293:G293"/>
    <mergeCell ref="F292:G292"/>
    <mergeCell ref="A42:G42"/>
    <mergeCell ref="F53:G53"/>
    <mergeCell ref="H53:H56"/>
    <mergeCell ref="F54:G54"/>
    <mergeCell ref="F55:G55"/>
    <mergeCell ref="F56:G56"/>
    <mergeCell ref="A57:B57"/>
    <mergeCell ref="D57:G57"/>
    <mergeCell ref="A66:G66"/>
    <mergeCell ref="F67:G67"/>
    <mergeCell ref="F68:G68"/>
    <mergeCell ref="F69:G69"/>
    <mergeCell ref="F70:G70"/>
    <mergeCell ref="F71:G71"/>
    <mergeCell ref="F72:G72"/>
    <mergeCell ref="F73:G73"/>
    <mergeCell ref="A342:G342"/>
    <mergeCell ref="A336:G336"/>
    <mergeCell ref="A339:G339"/>
    <mergeCell ref="A340:G340"/>
    <mergeCell ref="A341:G341"/>
    <mergeCell ref="A337:G337"/>
    <mergeCell ref="A1:G1"/>
    <mergeCell ref="A2:G2"/>
    <mergeCell ref="A4:G4"/>
    <mergeCell ref="A10:G10"/>
    <mergeCell ref="A5:C5"/>
    <mergeCell ref="A3:G3"/>
    <mergeCell ref="D5:G5"/>
    <mergeCell ref="A7:G7"/>
    <mergeCell ref="A8:G8"/>
    <mergeCell ref="A6:G6"/>
    <mergeCell ref="A9:G9"/>
    <mergeCell ref="F11:G11"/>
    <mergeCell ref="F12:G12"/>
    <mergeCell ref="F13:G13"/>
    <mergeCell ref="F14:G14"/>
    <mergeCell ref="F15:G15"/>
    <mergeCell ref="F16:G16"/>
    <mergeCell ref="F17:G17"/>
    <mergeCell ref="A313:G313"/>
    <mergeCell ref="A315:G315"/>
    <mergeCell ref="A311:G311"/>
    <mergeCell ref="F305:G305"/>
    <mergeCell ref="A312:G312"/>
    <mergeCell ref="A314:G314"/>
    <mergeCell ref="A308:D308"/>
    <mergeCell ref="A309:D309"/>
    <mergeCell ref="A310:D310"/>
    <mergeCell ref="E310:G310"/>
    <mergeCell ref="E309:G309"/>
    <mergeCell ref="E308:G308"/>
    <mergeCell ref="A304:B304"/>
    <mergeCell ref="A306:G306"/>
    <mergeCell ref="A307:G307"/>
    <mergeCell ref="F299:G299"/>
    <mergeCell ref="A305:D305"/>
    <mergeCell ref="F300:G300"/>
    <mergeCell ref="F301:G301"/>
    <mergeCell ref="F302:G302"/>
    <mergeCell ref="F303:G303"/>
    <mergeCell ref="D304:G304"/>
    <mergeCell ref="H300:H303"/>
    <mergeCell ref="F298:G298"/>
    <mergeCell ref="A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A63:D63"/>
    <mergeCell ref="E63:G63"/>
    <mergeCell ref="A64:D64"/>
    <mergeCell ref="E64:G64"/>
    <mergeCell ref="F74:G74"/>
    <mergeCell ref="F75:G75"/>
    <mergeCell ref="F76:G76"/>
    <mergeCell ref="H76:H79"/>
    <mergeCell ref="F77:G77"/>
    <mergeCell ref="F78:G78"/>
    <mergeCell ref="F79:G79"/>
    <mergeCell ref="A80:B80"/>
    <mergeCell ref="F34:G34"/>
    <mergeCell ref="F35:G35"/>
    <mergeCell ref="F36:G36"/>
    <mergeCell ref="H36:H39"/>
    <mergeCell ref="F37:G37"/>
    <mergeCell ref="F38:G38"/>
    <mergeCell ref="F39:G39"/>
    <mergeCell ref="A62:D62"/>
    <mergeCell ref="E62:G62"/>
    <mergeCell ref="A58:D58"/>
    <mergeCell ref="F58:G58"/>
    <mergeCell ref="A59:G59"/>
    <mergeCell ref="A60:G60"/>
    <mergeCell ref="A61:G61"/>
    <mergeCell ref="A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A173:G173"/>
    <mergeCell ref="A174:G174"/>
    <mergeCell ref="F294:G294"/>
    <mergeCell ref="F166:G166"/>
    <mergeCell ref="F167:G167"/>
    <mergeCell ref="H167:H170"/>
    <mergeCell ref="F168:G168"/>
    <mergeCell ref="F169:G169"/>
    <mergeCell ref="F170:G170"/>
    <mergeCell ref="A171:B171"/>
    <mergeCell ref="D171:G171"/>
    <mergeCell ref="A172:D172"/>
    <mergeCell ref="F172:G172"/>
    <mergeCell ref="A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A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H278:H281"/>
    <mergeCell ref="F279:G279"/>
    <mergeCell ref="F280:G280"/>
    <mergeCell ref="F281:G281"/>
    <mergeCell ref="A282:B282"/>
    <mergeCell ref="D282:G282"/>
    <mergeCell ref="A283:D283"/>
    <mergeCell ref="F283:G283"/>
    <mergeCell ref="A284:G284"/>
    <mergeCell ref="A285:G285"/>
    <mergeCell ref="A286:D286"/>
    <mergeCell ref="E286:G286"/>
    <mergeCell ref="A287:D287"/>
    <mergeCell ref="E287:G287"/>
    <mergeCell ref="A288:D288"/>
    <mergeCell ref="E288:G288"/>
  </mergeCells>
  <phoneticPr fontId="0" type="noConversion"/>
  <printOptions horizontalCentered="1" verticalCentered="1"/>
  <pageMargins left="0.39370078740157483" right="0.39370078740157483" top="0.98425196850393704" bottom="0.78740157480314965" header="0.51181102362204722" footer="0.51181102362204722"/>
  <pageSetup paperSize="9" scale="36" orientation="portrait" r:id="rId1"/>
  <headerFooter alignWithMargins="0">
    <oddHeader>&amp;R&amp;G</oddHeader>
    <oddFooter>&amp;CLINCE SEGURANÇA PATRIMONIAL LTDA. Av. São Paulo, 1049, São Geraldo, Porto Alegre/RS&amp;R&amp;P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8">
    <tabColor theme="6"/>
  </sheetPr>
  <dimension ref="A1:Z119"/>
  <sheetViews>
    <sheetView view="pageBreakPreview" topLeftCell="A40" zoomScaleNormal="100" workbookViewId="0">
      <selection activeCell="C61" sqref="C61"/>
    </sheetView>
  </sheetViews>
  <sheetFormatPr defaultColWidth="9.1796875" defaultRowHeight="13" x14ac:dyDescent="0.3"/>
  <cols>
    <col min="1" max="1" width="6.453125" style="73" customWidth="1"/>
    <col min="2" max="2" width="77.26953125" style="73" customWidth="1"/>
    <col min="3" max="3" width="13.7265625" style="73" customWidth="1"/>
    <col min="4" max="4" width="14.1796875" style="73" customWidth="1"/>
    <col min="5" max="5" width="7.7265625" style="73" customWidth="1"/>
    <col min="6" max="7" width="9.1796875" style="73"/>
    <col min="8" max="8" width="9.1796875" style="74"/>
    <col min="9" max="13" width="9.1796875" style="73"/>
    <col min="14" max="17" width="9.1796875" style="75"/>
    <col min="18" max="16384" width="9.1796875" style="76"/>
  </cols>
  <sheetData>
    <row r="1" spans="1:17" ht="13.5" customHeight="1" x14ac:dyDescent="0.3">
      <c r="A1" s="501" t="s">
        <v>114</v>
      </c>
      <c r="B1" s="501"/>
      <c r="C1" s="501"/>
      <c r="D1" s="501"/>
      <c r="E1" s="501"/>
      <c r="F1" s="501"/>
    </row>
    <row r="2" spans="1:17" ht="13.5" customHeight="1" thickBot="1" x14ac:dyDescent="0.35">
      <c r="A2" s="77"/>
      <c r="B2" s="77"/>
      <c r="C2" s="77"/>
      <c r="D2" s="77"/>
      <c r="E2" s="77"/>
      <c r="F2" s="77"/>
    </row>
    <row r="3" spans="1:17" ht="13.5" customHeight="1" x14ac:dyDescent="0.3">
      <c r="A3" s="78" t="s">
        <v>69</v>
      </c>
      <c r="B3" s="79"/>
      <c r="C3" s="80">
        <v>0.20429999999999998</v>
      </c>
      <c r="D3" s="79"/>
      <c r="E3" s="79"/>
      <c r="F3" s="81"/>
      <c r="K3" s="75"/>
      <c r="L3" s="75"/>
      <c r="M3" s="75"/>
      <c r="O3" s="76"/>
      <c r="P3" s="76"/>
      <c r="Q3" s="76"/>
    </row>
    <row r="4" spans="1:17" ht="13.5" customHeight="1" x14ac:dyDescent="0.3">
      <c r="A4" s="82"/>
      <c r="B4" s="83"/>
      <c r="C4" s="83"/>
      <c r="D4" s="83"/>
      <c r="E4" s="83"/>
      <c r="F4" s="84"/>
      <c r="K4" s="75"/>
      <c r="L4" s="75"/>
      <c r="M4" s="75"/>
      <c r="O4" s="76"/>
      <c r="P4" s="76"/>
      <c r="Q4" s="76"/>
    </row>
    <row r="5" spans="1:17" ht="13.5" customHeight="1" x14ac:dyDescent="0.3">
      <c r="A5" s="85" t="s">
        <v>0</v>
      </c>
      <c r="B5" s="86" t="s">
        <v>15</v>
      </c>
      <c r="C5" s="87">
        <v>8.3299999999999999E-2</v>
      </c>
      <c r="D5" s="83"/>
      <c r="E5" s="83"/>
      <c r="F5" s="84"/>
      <c r="H5" s="89"/>
      <c r="K5" s="75"/>
      <c r="L5" s="75"/>
      <c r="M5" s="75"/>
      <c r="O5" s="76"/>
      <c r="P5" s="76"/>
      <c r="Q5" s="76"/>
    </row>
    <row r="6" spans="1:17" ht="13.5" customHeight="1" x14ac:dyDescent="0.3">
      <c r="A6" s="85"/>
      <c r="B6" s="97" t="s">
        <v>116</v>
      </c>
      <c r="C6" s="87"/>
      <c r="D6" s="83"/>
      <c r="E6" s="83"/>
      <c r="F6" s="84"/>
      <c r="K6" s="75"/>
      <c r="L6" s="75"/>
      <c r="M6" s="75"/>
      <c r="O6" s="76"/>
      <c r="P6" s="76"/>
      <c r="Q6" s="76"/>
    </row>
    <row r="7" spans="1:17" ht="13.5" customHeight="1" x14ac:dyDescent="0.3">
      <c r="A7" s="85"/>
      <c r="B7" s="98" t="s">
        <v>311</v>
      </c>
      <c r="C7" s="87"/>
      <c r="D7" s="83"/>
      <c r="E7" s="83"/>
      <c r="F7" s="84"/>
      <c r="K7" s="75"/>
      <c r="L7" s="75"/>
      <c r="M7" s="75"/>
      <c r="O7" s="76"/>
      <c r="P7" s="76"/>
      <c r="Q7" s="76"/>
    </row>
    <row r="8" spans="1:17" ht="13.5" customHeight="1" x14ac:dyDescent="0.3">
      <c r="A8" s="85"/>
      <c r="B8" s="98" t="s">
        <v>312</v>
      </c>
      <c r="C8" s="87"/>
      <c r="D8" s="83"/>
      <c r="E8" s="83"/>
      <c r="F8" s="84"/>
      <c r="K8" s="75"/>
      <c r="L8" s="75"/>
      <c r="M8" s="75"/>
      <c r="O8" s="76"/>
      <c r="P8" s="76"/>
      <c r="Q8" s="76"/>
    </row>
    <row r="9" spans="1:17" ht="13.5" customHeight="1" x14ac:dyDescent="0.3">
      <c r="A9" s="85"/>
      <c r="B9" s="98" t="s">
        <v>313</v>
      </c>
      <c r="C9" s="87"/>
      <c r="D9" s="83"/>
      <c r="E9" s="83"/>
      <c r="F9" s="84"/>
      <c r="K9" s="75"/>
      <c r="L9" s="75"/>
      <c r="M9" s="75"/>
      <c r="O9" s="76"/>
      <c r="P9" s="76"/>
      <c r="Q9" s="76"/>
    </row>
    <row r="10" spans="1:17" ht="13.5" customHeight="1" x14ac:dyDescent="0.3">
      <c r="A10" s="85"/>
      <c r="B10" s="98"/>
      <c r="C10" s="87"/>
      <c r="D10" s="83"/>
      <c r="E10" s="83"/>
      <c r="F10" s="84"/>
      <c r="K10" s="75"/>
      <c r="L10" s="75"/>
      <c r="M10" s="75"/>
      <c r="O10" s="76"/>
      <c r="P10" s="76"/>
      <c r="Q10" s="76"/>
    </row>
    <row r="11" spans="1:17" ht="13.5" customHeight="1" x14ac:dyDescent="0.3">
      <c r="A11" s="85" t="s">
        <v>1</v>
      </c>
      <c r="B11" s="86" t="s">
        <v>49</v>
      </c>
      <c r="C11" s="87">
        <v>0.121</v>
      </c>
      <c r="D11" s="83"/>
      <c r="E11" s="83"/>
      <c r="F11" s="84"/>
      <c r="H11" s="89"/>
      <c r="K11" s="75"/>
      <c r="L11" s="75"/>
      <c r="M11" s="75"/>
      <c r="O11" s="76"/>
      <c r="P11" s="76"/>
      <c r="Q11" s="76"/>
    </row>
    <row r="12" spans="1:17" ht="13.5" customHeight="1" thickBot="1" x14ac:dyDescent="0.35">
      <c r="A12" s="90"/>
      <c r="B12" s="104"/>
      <c r="C12" s="92"/>
      <c r="D12" s="93"/>
      <c r="E12" s="93"/>
      <c r="F12" s="94"/>
      <c r="K12" s="75"/>
      <c r="L12" s="75"/>
      <c r="M12" s="75"/>
      <c r="O12" s="76"/>
      <c r="P12" s="76"/>
      <c r="Q12" s="76"/>
    </row>
    <row r="13" spans="1:17" ht="13.5" customHeight="1" thickBot="1" x14ac:dyDescent="0.35">
      <c r="A13" s="77"/>
      <c r="B13" s="77"/>
      <c r="C13" s="77"/>
      <c r="D13" s="77"/>
      <c r="E13" s="77"/>
      <c r="F13" s="77"/>
      <c r="K13" s="75"/>
      <c r="L13" s="75"/>
      <c r="M13" s="75"/>
      <c r="O13" s="76"/>
      <c r="P13" s="76"/>
      <c r="Q13" s="76"/>
    </row>
    <row r="14" spans="1:17" ht="13.5" customHeight="1" x14ac:dyDescent="0.3">
      <c r="A14" s="78" t="s">
        <v>71</v>
      </c>
      <c r="B14" s="79"/>
      <c r="C14" s="80">
        <v>0.37880000000000003</v>
      </c>
      <c r="D14" s="79"/>
      <c r="E14" s="79"/>
      <c r="F14" s="81"/>
    </row>
    <row r="15" spans="1:17" ht="13.5" customHeight="1" x14ac:dyDescent="0.3">
      <c r="A15" s="82"/>
      <c r="B15" s="83"/>
      <c r="C15" s="83"/>
      <c r="D15" s="83"/>
      <c r="E15" s="83"/>
      <c r="F15" s="84"/>
    </row>
    <row r="16" spans="1:17" ht="13.5" customHeight="1" x14ac:dyDescent="0.3">
      <c r="A16" s="85" t="s">
        <v>0</v>
      </c>
      <c r="B16" s="86" t="s">
        <v>254</v>
      </c>
      <c r="C16" s="87">
        <v>0.2</v>
      </c>
      <c r="D16" s="502" t="s">
        <v>115</v>
      </c>
      <c r="E16" s="83"/>
      <c r="F16" s="84"/>
    </row>
    <row r="17" spans="1:26" ht="13.5" customHeight="1" x14ac:dyDescent="0.3">
      <c r="A17" s="85" t="s">
        <v>1</v>
      </c>
      <c r="B17" s="86" t="s">
        <v>258</v>
      </c>
      <c r="C17" s="87">
        <v>2.5000000000000001E-2</v>
      </c>
      <c r="D17" s="502"/>
      <c r="E17" s="83"/>
      <c r="F17" s="84"/>
    </row>
    <row r="18" spans="1:26" ht="34.5" customHeight="1" x14ac:dyDescent="0.3">
      <c r="A18" s="85" t="s">
        <v>2</v>
      </c>
      <c r="B18" s="86" t="s">
        <v>260</v>
      </c>
      <c r="C18" s="88">
        <v>4.0800000000000003E-2</v>
      </c>
      <c r="D18" s="502"/>
      <c r="E18" s="83"/>
      <c r="F18" s="84"/>
      <c r="H18" s="89"/>
      <c r="K18" s="75"/>
      <c r="L18" s="75"/>
      <c r="M18" s="75"/>
      <c r="O18" s="76"/>
      <c r="P18" s="76"/>
      <c r="Q18" s="76"/>
    </row>
    <row r="19" spans="1:26" ht="25.5" customHeight="1" x14ac:dyDescent="0.3">
      <c r="A19" s="85" t="s">
        <v>3</v>
      </c>
      <c r="B19" s="86" t="s">
        <v>255</v>
      </c>
      <c r="C19" s="87">
        <v>1.4999999999999999E-2</v>
      </c>
      <c r="D19" s="502"/>
      <c r="E19" s="83"/>
      <c r="F19" s="84"/>
      <c r="H19" s="105"/>
      <c r="I19" s="96"/>
    </row>
    <row r="20" spans="1:26" ht="13.5" customHeight="1" x14ac:dyDescent="0.3">
      <c r="A20" s="85" t="s">
        <v>4</v>
      </c>
      <c r="B20" s="86" t="s">
        <v>256</v>
      </c>
      <c r="C20" s="87">
        <v>0.01</v>
      </c>
      <c r="D20" s="502"/>
      <c r="E20" s="83"/>
      <c r="F20" s="84"/>
    </row>
    <row r="21" spans="1:26" ht="13.5" customHeight="1" x14ac:dyDescent="0.3">
      <c r="A21" s="85" t="s">
        <v>5</v>
      </c>
      <c r="B21" s="86" t="s">
        <v>261</v>
      </c>
      <c r="C21" s="87">
        <v>6.0000000000000001E-3</v>
      </c>
      <c r="D21" s="502"/>
      <c r="E21" s="83"/>
      <c r="F21" s="84"/>
      <c r="H21" s="76"/>
      <c r="I21" s="7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3.5" customHeight="1" x14ac:dyDescent="0.3">
      <c r="A22" s="85" t="s">
        <v>6</v>
      </c>
      <c r="B22" s="86" t="s">
        <v>257</v>
      </c>
      <c r="C22" s="87">
        <v>2E-3</v>
      </c>
      <c r="D22" s="502"/>
      <c r="E22" s="83"/>
      <c r="F22" s="84"/>
    </row>
    <row r="23" spans="1:26" ht="13.5" customHeight="1" thickBot="1" x14ac:dyDescent="0.35">
      <c r="A23" s="90" t="s">
        <v>10</v>
      </c>
      <c r="B23" s="91" t="s">
        <v>259</v>
      </c>
      <c r="C23" s="92">
        <v>0.08</v>
      </c>
      <c r="D23" s="503"/>
      <c r="E23" s="93"/>
      <c r="F23" s="94"/>
    </row>
    <row r="24" spans="1:26" ht="13.5" customHeight="1" thickBot="1" x14ac:dyDescent="0.35">
      <c r="A24" s="77"/>
      <c r="B24" s="77"/>
      <c r="C24" s="77"/>
      <c r="D24" s="77"/>
      <c r="E24" s="77"/>
      <c r="F24" s="77"/>
      <c r="K24" s="75"/>
      <c r="L24" s="75"/>
      <c r="M24" s="75"/>
      <c r="O24" s="76"/>
      <c r="P24" s="76"/>
      <c r="Q24" s="76"/>
    </row>
    <row r="25" spans="1:26" ht="13.5" customHeight="1" x14ac:dyDescent="0.3">
      <c r="A25" s="78" t="s">
        <v>84</v>
      </c>
      <c r="B25" s="79"/>
      <c r="C25" s="80">
        <v>5.67E-2</v>
      </c>
      <c r="D25" s="79"/>
      <c r="E25" s="79"/>
      <c r="F25" s="81"/>
      <c r="K25" s="75"/>
      <c r="L25" s="75"/>
      <c r="M25" s="75"/>
      <c r="O25" s="76"/>
      <c r="P25" s="76"/>
      <c r="Q25" s="76"/>
    </row>
    <row r="26" spans="1:26" ht="13.5" customHeight="1" x14ac:dyDescent="0.3">
      <c r="A26" s="107" t="s">
        <v>85</v>
      </c>
      <c r="B26" s="122"/>
      <c r="C26" s="106"/>
      <c r="D26" s="122"/>
      <c r="E26" s="122"/>
      <c r="F26" s="84"/>
      <c r="K26" s="75"/>
      <c r="L26" s="75"/>
      <c r="M26" s="75"/>
      <c r="O26" s="76"/>
      <c r="P26" s="76"/>
      <c r="Q26" s="76"/>
    </row>
    <row r="27" spans="1:26" ht="13.5" customHeight="1" x14ac:dyDescent="0.3">
      <c r="A27" s="82"/>
      <c r="B27" s="122"/>
      <c r="C27" s="122"/>
      <c r="D27" s="122"/>
      <c r="E27" s="122"/>
      <c r="F27" s="84"/>
      <c r="K27" s="75"/>
      <c r="L27" s="75"/>
      <c r="M27" s="75"/>
      <c r="O27" s="76"/>
      <c r="P27" s="76"/>
      <c r="Q27" s="76"/>
    </row>
    <row r="28" spans="1:26" ht="13.5" customHeight="1" x14ac:dyDescent="0.3">
      <c r="A28" s="85" t="s">
        <v>0</v>
      </c>
      <c r="B28" s="86" t="s">
        <v>86</v>
      </c>
      <c r="C28" s="87">
        <v>4.1999999999999997E-3</v>
      </c>
      <c r="D28" s="122"/>
      <c r="E28" s="122"/>
      <c r="F28" s="84"/>
      <c r="H28" s="101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</row>
    <row r="29" spans="1:26" ht="13.5" customHeight="1" x14ac:dyDescent="0.3">
      <c r="A29" s="85"/>
      <c r="B29" s="122" t="s">
        <v>132</v>
      </c>
      <c r="C29" s="102"/>
      <c r="D29" s="122"/>
      <c r="E29" s="122"/>
      <c r="F29" s="84"/>
      <c r="H29" s="103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</row>
    <row r="30" spans="1:26" ht="13.5" customHeight="1" x14ac:dyDescent="0.3">
      <c r="A30" s="85"/>
      <c r="B30" s="122" t="s">
        <v>116</v>
      </c>
      <c r="C30" s="102"/>
      <c r="D30" s="122"/>
      <c r="E30" s="122"/>
      <c r="F30" s="84"/>
      <c r="K30" s="75"/>
      <c r="L30" s="75"/>
      <c r="M30" s="75"/>
      <c r="O30" s="76"/>
      <c r="P30" s="76"/>
      <c r="Q30" s="76"/>
    </row>
    <row r="31" spans="1:26" ht="13.5" customHeight="1" x14ac:dyDescent="0.3">
      <c r="A31" s="85"/>
      <c r="B31" s="172" t="s">
        <v>133</v>
      </c>
      <c r="C31" s="102"/>
      <c r="D31" s="122"/>
      <c r="E31" s="122"/>
      <c r="F31" s="84"/>
      <c r="K31" s="75"/>
      <c r="L31" s="75"/>
      <c r="M31" s="75"/>
      <c r="O31" s="76"/>
      <c r="P31" s="76"/>
      <c r="Q31" s="76"/>
    </row>
    <row r="32" spans="1:26" ht="13.5" customHeight="1" x14ac:dyDescent="0.3">
      <c r="A32" s="85"/>
      <c r="B32" s="172" t="s">
        <v>134</v>
      </c>
      <c r="C32" s="102"/>
      <c r="D32" s="122"/>
      <c r="E32" s="122"/>
      <c r="F32" s="84"/>
      <c r="K32" s="75"/>
      <c r="L32" s="75"/>
      <c r="M32" s="75"/>
      <c r="O32" s="76"/>
      <c r="P32" s="76"/>
      <c r="Q32" s="76"/>
    </row>
    <row r="33" spans="1:26" ht="13.5" customHeight="1" x14ac:dyDescent="0.3">
      <c r="A33" s="85"/>
      <c r="B33" s="172" t="s">
        <v>135</v>
      </c>
      <c r="C33" s="102"/>
      <c r="D33" s="122"/>
      <c r="E33" s="122"/>
      <c r="F33" s="84"/>
      <c r="K33" s="75"/>
      <c r="L33" s="75"/>
      <c r="M33" s="75"/>
      <c r="O33" s="76"/>
      <c r="P33" s="76"/>
      <c r="Q33" s="76"/>
    </row>
    <row r="34" spans="1:26" ht="13.5" customHeight="1" x14ac:dyDescent="0.3">
      <c r="A34" s="85"/>
      <c r="B34" s="172" t="s">
        <v>136</v>
      </c>
      <c r="C34" s="102"/>
      <c r="D34" s="122"/>
      <c r="E34" s="122"/>
      <c r="F34" s="84"/>
      <c r="H34" s="110"/>
      <c r="K34" s="75"/>
      <c r="L34" s="75"/>
      <c r="M34" s="75"/>
      <c r="O34" s="76"/>
      <c r="P34" s="76"/>
      <c r="Q34" s="76"/>
    </row>
    <row r="35" spans="1:26" ht="13.5" customHeight="1" x14ac:dyDescent="0.3">
      <c r="A35" s="85"/>
      <c r="B35" s="98"/>
      <c r="C35" s="87"/>
      <c r="D35" s="122"/>
      <c r="E35" s="122"/>
      <c r="F35" s="84"/>
      <c r="K35" s="75"/>
      <c r="L35" s="75"/>
      <c r="M35" s="75"/>
      <c r="O35" s="76"/>
      <c r="P35" s="76"/>
      <c r="Q35" s="76"/>
    </row>
    <row r="36" spans="1:26" ht="13.5" customHeight="1" x14ac:dyDescent="0.3">
      <c r="A36" s="85" t="s">
        <v>1</v>
      </c>
      <c r="B36" s="86" t="s">
        <v>121</v>
      </c>
      <c r="C36" s="87">
        <v>2.9999999999999997E-4</v>
      </c>
      <c r="D36" s="99" t="s">
        <v>117</v>
      </c>
      <c r="E36" s="122"/>
      <c r="F36" s="84"/>
      <c r="H36" s="125"/>
      <c r="I36" s="126"/>
      <c r="K36" s="75"/>
      <c r="L36" s="75"/>
      <c r="M36" s="75"/>
      <c r="O36" s="76"/>
      <c r="P36" s="76"/>
      <c r="Q36" s="76"/>
    </row>
    <row r="37" spans="1:26" ht="13.5" customHeight="1" x14ac:dyDescent="0.3">
      <c r="A37" s="85"/>
      <c r="B37" s="122" t="s">
        <v>116</v>
      </c>
      <c r="C37" s="102"/>
      <c r="D37" s="122"/>
      <c r="E37" s="122"/>
      <c r="F37" s="84"/>
      <c r="K37" s="75"/>
      <c r="L37" s="75"/>
      <c r="M37" s="75"/>
      <c r="O37" s="76"/>
      <c r="P37" s="76"/>
      <c r="Q37" s="76"/>
    </row>
    <row r="38" spans="1:26" ht="13.5" customHeight="1" x14ac:dyDescent="0.3">
      <c r="A38" s="85"/>
      <c r="B38" s="172" t="s">
        <v>137</v>
      </c>
      <c r="C38" s="102"/>
      <c r="D38" s="122"/>
      <c r="E38" s="122"/>
      <c r="F38" s="84"/>
      <c r="K38" s="75"/>
      <c r="L38" s="75"/>
      <c r="M38" s="75"/>
      <c r="O38" s="76"/>
      <c r="P38" s="76"/>
      <c r="Q38" s="76"/>
    </row>
    <row r="39" spans="1:26" ht="13.5" customHeight="1" x14ac:dyDescent="0.3">
      <c r="A39" s="85"/>
      <c r="B39" s="172" t="s">
        <v>138</v>
      </c>
      <c r="C39" s="102"/>
      <c r="D39" s="122"/>
      <c r="E39" s="122"/>
      <c r="F39" s="84"/>
      <c r="K39" s="75"/>
      <c r="L39" s="75"/>
      <c r="M39" s="75"/>
      <c r="O39" s="76"/>
      <c r="P39" s="76"/>
      <c r="Q39" s="76"/>
    </row>
    <row r="40" spans="1:26" ht="13.5" customHeight="1" x14ac:dyDescent="0.3">
      <c r="A40" s="85"/>
      <c r="B40" s="98"/>
      <c r="C40" s="87"/>
      <c r="D40" s="122"/>
      <c r="E40" s="122"/>
      <c r="F40" s="84"/>
      <c r="K40" s="75"/>
      <c r="L40" s="75"/>
      <c r="M40" s="75"/>
      <c r="O40" s="76"/>
      <c r="P40" s="76"/>
      <c r="Q40" s="76"/>
    </row>
    <row r="41" spans="1:26" ht="13.5" customHeight="1" x14ac:dyDescent="0.3">
      <c r="A41" s="251" t="s">
        <v>2</v>
      </c>
      <c r="B41" s="252" t="s">
        <v>122</v>
      </c>
      <c r="C41" s="253">
        <f>0.24%*0.8</f>
        <v>1.9199999999999998E-3</v>
      </c>
      <c r="D41" s="254"/>
      <c r="E41" s="255"/>
      <c r="F41" s="256"/>
      <c r="G41" s="73">
        <v>0.24</v>
      </c>
      <c r="H41" s="101"/>
      <c r="K41" s="75"/>
      <c r="L41" s="75"/>
      <c r="M41" s="75"/>
      <c r="O41" s="76"/>
      <c r="P41" s="76"/>
      <c r="Q41" s="76"/>
    </row>
    <row r="42" spans="1:26" ht="13.5" customHeight="1" x14ac:dyDescent="0.3">
      <c r="A42" s="85"/>
      <c r="B42" s="98"/>
      <c r="C42" s="87"/>
      <c r="D42" s="122"/>
      <c r="E42" s="122"/>
      <c r="F42" s="84"/>
      <c r="K42" s="75"/>
      <c r="L42" s="75"/>
      <c r="M42" s="75"/>
      <c r="O42" s="76"/>
      <c r="P42" s="76"/>
      <c r="Q42" s="76"/>
    </row>
    <row r="43" spans="1:26" ht="13.5" customHeight="1" x14ac:dyDescent="0.3">
      <c r="A43" s="85" t="s">
        <v>3</v>
      </c>
      <c r="B43" s="86" t="s">
        <v>89</v>
      </c>
      <c r="C43" s="87">
        <v>1.6000000000000001E-3</v>
      </c>
      <c r="D43" s="122"/>
      <c r="E43" s="122"/>
      <c r="F43" s="84"/>
      <c r="H43" s="101"/>
      <c r="K43" s="75"/>
      <c r="L43" s="75"/>
      <c r="M43" s="75"/>
      <c r="O43" s="76"/>
      <c r="P43" s="76"/>
      <c r="Q43" s="76"/>
    </row>
    <row r="44" spans="1:26" ht="13.5" customHeight="1" x14ac:dyDescent="0.3">
      <c r="A44" s="109"/>
      <c r="B44" s="97" t="s">
        <v>118</v>
      </c>
      <c r="C44" s="87"/>
      <c r="D44" s="122"/>
      <c r="E44" s="122"/>
      <c r="F44" s="84"/>
      <c r="H44" s="95"/>
      <c r="K44" s="75"/>
      <c r="L44" s="75"/>
      <c r="M44" s="75"/>
      <c r="O44" s="76"/>
      <c r="P44" s="76"/>
      <c r="Q44" s="76"/>
    </row>
    <row r="45" spans="1:26" ht="13.5" customHeight="1" x14ac:dyDescent="0.3">
      <c r="A45" s="85"/>
      <c r="B45" s="97" t="s">
        <v>123</v>
      </c>
      <c r="C45" s="87"/>
      <c r="D45" s="122"/>
      <c r="E45" s="122"/>
      <c r="F45" s="84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</row>
    <row r="46" spans="1:26" ht="13.5" customHeight="1" x14ac:dyDescent="0.3">
      <c r="A46" s="85"/>
      <c r="B46" s="97" t="s">
        <v>150</v>
      </c>
      <c r="C46" s="87"/>
      <c r="D46" s="122"/>
      <c r="E46" s="122"/>
      <c r="F46" s="84"/>
      <c r="K46" s="75"/>
      <c r="L46" s="75"/>
      <c r="M46" s="75"/>
      <c r="O46" s="76"/>
      <c r="P46" s="76"/>
      <c r="Q46" s="76"/>
    </row>
    <row r="47" spans="1:26" ht="13.5" customHeight="1" x14ac:dyDescent="0.3">
      <c r="A47" s="85"/>
      <c r="B47" s="97" t="s">
        <v>116</v>
      </c>
      <c r="C47" s="87"/>
      <c r="D47" s="122"/>
      <c r="E47" s="122"/>
      <c r="F47" s="84"/>
      <c r="K47" s="75"/>
      <c r="L47" s="75"/>
      <c r="M47" s="75"/>
      <c r="O47" s="76"/>
      <c r="P47" s="76"/>
      <c r="Q47" s="76"/>
    </row>
    <row r="48" spans="1:26" ht="13.5" customHeight="1" x14ac:dyDescent="0.3">
      <c r="A48" s="85"/>
      <c r="B48" s="98" t="s">
        <v>151</v>
      </c>
      <c r="C48" s="87"/>
      <c r="D48" s="122"/>
      <c r="E48" s="122"/>
      <c r="F48" s="84"/>
      <c r="K48" s="75"/>
      <c r="L48" s="75"/>
      <c r="M48" s="75"/>
      <c r="O48" s="76"/>
      <c r="P48" s="76"/>
      <c r="Q48" s="76"/>
    </row>
    <row r="49" spans="1:17" ht="13.5" customHeight="1" x14ac:dyDescent="0.3">
      <c r="A49" s="85"/>
      <c r="B49" s="98" t="s">
        <v>152</v>
      </c>
      <c r="C49" s="87"/>
      <c r="D49" s="122"/>
      <c r="E49" s="122"/>
      <c r="F49" s="84"/>
      <c r="K49" s="75"/>
      <c r="L49" s="75"/>
      <c r="M49" s="75"/>
      <c r="O49" s="76"/>
      <c r="P49" s="76"/>
      <c r="Q49" s="76"/>
    </row>
    <row r="50" spans="1:17" ht="13.5" customHeight="1" x14ac:dyDescent="0.3">
      <c r="A50" s="85"/>
      <c r="B50" s="98" t="s">
        <v>153</v>
      </c>
      <c r="C50" s="87"/>
      <c r="D50" s="122"/>
      <c r="E50" s="122"/>
      <c r="F50" s="84"/>
      <c r="K50" s="75"/>
      <c r="L50" s="75"/>
      <c r="M50" s="75"/>
      <c r="O50" s="76"/>
      <c r="P50" s="76"/>
      <c r="Q50" s="76"/>
    </row>
    <row r="51" spans="1:17" ht="13.5" customHeight="1" x14ac:dyDescent="0.3">
      <c r="A51" s="85"/>
      <c r="B51" s="98" t="s">
        <v>154</v>
      </c>
      <c r="C51" s="87"/>
      <c r="D51" s="122"/>
      <c r="E51" s="122"/>
      <c r="F51" s="84"/>
      <c r="K51" s="75"/>
      <c r="L51" s="75"/>
      <c r="M51" s="75"/>
      <c r="O51" s="76"/>
      <c r="P51" s="76"/>
      <c r="Q51" s="76"/>
    </row>
    <row r="52" spans="1:17" ht="13.5" customHeight="1" x14ac:dyDescent="0.3">
      <c r="A52" s="85"/>
      <c r="B52" s="98"/>
      <c r="C52" s="87"/>
      <c r="D52" s="122"/>
      <c r="E52" s="122"/>
      <c r="F52" s="84"/>
      <c r="K52" s="75"/>
      <c r="L52" s="75"/>
      <c r="M52" s="75"/>
      <c r="O52" s="76"/>
      <c r="P52" s="76"/>
      <c r="Q52" s="76"/>
    </row>
    <row r="53" spans="1:17" ht="13.5" customHeight="1" x14ac:dyDescent="0.3">
      <c r="A53" s="85" t="s">
        <v>4</v>
      </c>
      <c r="B53" s="86" t="s">
        <v>124</v>
      </c>
      <c r="C53" s="87">
        <v>5.9999999999999995E-4</v>
      </c>
      <c r="D53" s="99" t="s">
        <v>117</v>
      </c>
      <c r="E53" s="122"/>
      <c r="F53" s="84"/>
      <c r="K53" s="75"/>
      <c r="L53" s="75"/>
      <c r="M53" s="75"/>
      <c r="O53" s="76"/>
      <c r="P53" s="76"/>
      <c r="Q53" s="76"/>
    </row>
    <row r="54" spans="1:17" ht="13.5" customHeight="1" x14ac:dyDescent="0.3">
      <c r="A54" s="85"/>
      <c r="B54" s="98"/>
      <c r="C54" s="87"/>
      <c r="D54" s="122"/>
      <c r="E54" s="122"/>
      <c r="F54" s="84"/>
      <c r="K54" s="75"/>
      <c r="L54" s="75"/>
      <c r="M54" s="75"/>
      <c r="O54" s="76"/>
      <c r="P54" s="76"/>
      <c r="Q54" s="76"/>
    </row>
    <row r="55" spans="1:17" ht="13.5" customHeight="1" x14ac:dyDescent="0.3">
      <c r="A55" s="251" t="s">
        <v>5</v>
      </c>
      <c r="B55" s="252" t="s">
        <v>125</v>
      </c>
      <c r="C55" s="253">
        <f>4.76*0.8%</f>
        <v>3.8079999999999996E-2</v>
      </c>
      <c r="D55" s="254"/>
      <c r="E55" s="255"/>
      <c r="F55" s="256"/>
      <c r="G55" s="73">
        <v>4.76</v>
      </c>
      <c r="H55" s="101"/>
      <c r="K55" s="75"/>
      <c r="L55" s="75"/>
      <c r="M55" s="75"/>
      <c r="O55" s="76"/>
      <c r="P55" s="76"/>
      <c r="Q55" s="76"/>
    </row>
    <row r="56" spans="1:17" ht="13.5" customHeight="1" thickBot="1" x14ac:dyDescent="0.35">
      <c r="A56" s="100"/>
      <c r="B56" s="204"/>
      <c r="C56" s="93"/>
      <c r="D56" s="93"/>
      <c r="E56" s="93"/>
      <c r="F56" s="94"/>
      <c r="K56" s="75"/>
      <c r="L56" s="75"/>
      <c r="M56" s="75"/>
      <c r="O56" s="76"/>
      <c r="P56" s="76"/>
      <c r="Q56" s="76"/>
    </row>
    <row r="57" spans="1:17" ht="13.5" customHeight="1" thickBot="1" x14ac:dyDescent="0.35">
      <c r="A57" s="77"/>
      <c r="B57" s="77"/>
      <c r="C57" s="77"/>
      <c r="D57" s="77"/>
      <c r="E57" s="77"/>
      <c r="F57" s="77"/>
      <c r="K57" s="75"/>
      <c r="L57" s="75"/>
      <c r="M57" s="75"/>
      <c r="O57" s="76"/>
      <c r="P57" s="76"/>
      <c r="Q57" s="76"/>
    </row>
    <row r="58" spans="1:17" ht="13.5" customHeight="1" x14ac:dyDescent="0.3">
      <c r="A58" s="78" t="s">
        <v>92</v>
      </c>
      <c r="B58" s="79"/>
      <c r="C58" s="80">
        <v>3.4099999999999998E-2</v>
      </c>
      <c r="D58" s="79"/>
      <c r="E58" s="79"/>
      <c r="F58" s="81"/>
      <c r="K58" s="75"/>
      <c r="L58" s="75"/>
      <c r="M58" s="75"/>
      <c r="O58" s="76"/>
      <c r="P58" s="76"/>
      <c r="Q58" s="76"/>
    </row>
    <row r="59" spans="1:17" ht="13.5" customHeight="1" x14ac:dyDescent="0.3">
      <c r="A59" s="107" t="s">
        <v>93</v>
      </c>
      <c r="B59" s="122"/>
      <c r="C59" s="106"/>
      <c r="D59" s="122"/>
      <c r="E59" s="122"/>
      <c r="F59" s="84"/>
      <c r="K59" s="75"/>
      <c r="L59" s="75"/>
      <c r="M59" s="75"/>
      <c r="O59" s="76"/>
      <c r="P59" s="76"/>
      <c r="Q59" s="76"/>
    </row>
    <row r="60" spans="1:17" ht="13.5" customHeight="1" x14ac:dyDescent="0.3">
      <c r="A60" s="82"/>
      <c r="B60" s="122"/>
      <c r="C60" s="122"/>
      <c r="D60" s="122"/>
      <c r="E60" s="122"/>
      <c r="F60" s="84"/>
      <c r="K60" s="75"/>
      <c r="L60" s="75"/>
      <c r="M60" s="75"/>
      <c r="O60" s="76"/>
      <c r="P60" s="76"/>
      <c r="Q60" s="76"/>
    </row>
    <row r="61" spans="1:17" ht="13.5" customHeight="1" x14ac:dyDescent="0.3">
      <c r="A61" s="85" t="s">
        <v>0</v>
      </c>
      <c r="B61" s="86" t="s">
        <v>94</v>
      </c>
      <c r="C61" s="87">
        <v>1.01E-2</v>
      </c>
      <c r="D61" s="122"/>
      <c r="E61" s="122"/>
      <c r="F61" s="84"/>
      <c r="H61" s="89"/>
      <c r="K61" s="75"/>
      <c r="L61" s="75"/>
      <c r="M61" s="75"/>
      <c r="O61" s="76"/>
      <c r="P61" s="76"/>
      <c r="Q61" s="76"/>
    </row>
    <row r="62" spans="1:17" ht="13.5" customHeight="1" x14ac:dyDescent="0.3">
      <c r="A62" s="85"/>
      <c r="B62" s="97" t="s">
        <v>116</v>
      </c>
      <c r="C62" s="102"/>
      <c r="D62" s="122"/>
      <c r="E62" s="122"/>
      <c r="F62" s="84"/>
      <c r="K62" s="75"/>
      <c r="L62" s="75"/>
      <c r="M62" s="75"/>
      <c r="O62" s="76"/>
      <c r="P62" s="76"/>
      <c r="Q62" s="76"/>
    </row>
    <row r="63" spans="1:17" ht="13.5" customHeight="1" x14ac:dyDescent="0.3">
      <c r="A63" s="85"/>
      <c r="B63" s="98" t="s">
        <v>168</v>
      </c>
      <c r="C63" s="102"/>
      <c r="D63" s="122"/>
      <c r="E63" s="122"/>
      <c r="F63" s="84"/>
      <c r="K63" s="75"/>
      <c r="L63" s="75"/>
      <c r="M63" s="75"/>
      <c r="O63" s="76"/>
      <c r="P63" s="76"/>
      <c r="Q63" s="76"/>
    </row>
    <row r="64" spans="1:17" ht="13.5" customHeight="1" x14ac:dyDescent="0.3">
      <c r="A64" s="85"/>
      <c r="B64" s="98" t="s">
        <v>169</v>
      </c>
      <c r="C64" s="102"/>
      <c r="D64" s="122"/>
      <c r="E64" s="122"/>
      <c r="F64" s="84"/>
      <c r="K64" s="75"/>
      <c r="L64" s="75"/>
      <c r="M64" s="75"/>
      <c r="O64" s="76"/>
      <c r="P64" s="76"/>
      <c r="Q64" s="76"/>
    </row>
    <row r="65" spans="1:26" ht="13.5" customHeight="1" x14ac:dyDescent="0.3">
      <c r="A65" s="85"/>
      <c r="B65" s="98" t="s">
        <v>170</v>
      </c>
      <c r="C65" s="102"/>
      <c r="D65" s="122"/>
      <c r="E65" s="122"/>
      <c r="F65" s="84"/>
      <c r="H65" s="110"/>
      <c r="K65" s="75"/>
      <c r="L65" s="75"/>
      <c r="M65" s="75"/>
      <c r="O65" s="76"/>
      <c r="P65" s="76"/>
      <c r="Q65" s="76"/>
    </row>
    <row r="66" spans="1:26" ht="13.5" customHeight="1" x14ac:dyDescent="0.3">
      <c r="A66" s="85"/>
      <c r="B66" s="98"/>
      <c r="C66" s="87"/>
      <c r="D66" s="122"/>
      <c r="E66" s="122"/>
      <c r="F66" s="84"/>
      <c r="K66" s="75"/>
      <c r="L66" s="75"/>
      <c r="M66" s="75"/>
      <c r="O66" s="76"/>
      <c r="P66" s="76"/>
      <c r="Q66" s="76"/>
    </row>
    <row r="67" spans="1:26" ht="13.5" customHeight="1" x14ac:dyDescent="0.3">
      <c r="A67" s="85" t="s">
        <v>1</v>
      </c>
      <c r="B67" s="86" t="s">
        <v>95</v>
      </c>
      <c r="C67" s="87">
        <v>5.5999999999999999E-3</v>
      </c>
      <c r="D67" s="122"/>
      <c r="E67" s="122"/>
      <c r="F67" s="84"/>
      <c r="H67" s="89"/>
      <c r="K67" s="75"/>
      <c r="L67" s="75"/>
      <c r="M67" s="75"/>
      <c r="O67" s="76"/>
      <c r="P67" s="76"/>
      <c r="Q67" s="76"/>
    </row>
    <row r="68" spans="1:26" ht="13.5" customHeight="1" x14ac:dyDescent="0.3">
      <c r="A68" s="85"/>
      <c r="B68" s="97" t="s">
        <v>118</v>
      </c>
      <c r="C68" s="87"/>
      <c r="D68" s="122"/>
      <c r="E68" s="122"/>
      <c r="F68" s="84"/>
      <c r="H68" s="95"/>
      <c r="I68" s="108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spans="1:26" ht="13.5" customHeight="1" x14ac:dyDescent="0.3">
      <c r="A69" s="85"/>
      <c r="B69" s="97" t="s">
        <v>171</v>
      </c>
      <c r="C69" s="87"/>
      <c r="D69" s="122"/>
      <c r="E69" s="122"/>
      <c r="F69" s="84"/>
      <c r="K69" s="75"/>
      <c r="L69" s="75"/>
      <c r="M69" s="75"/>
      <c r="O69" s="76"/>
      <c r="P69" s="76"/>
      <c r="Q69" s="76"/>
    </row>
    <row r="70" spans="1:26" ht="13.5" customHeight="1" x14ac:dyDescent="0.3">
      <c r="A70" s="85"/>
      <c r="B70" s="97" t="s">
        <v>116</v>
      </c>
      <c r="C70" s="87"/>
      <c r="D70" s="122"/>
      <c r="E70" s="122"/>
      <c r="F70" s="84"/>
      <c r="K70" s="75"/>
      <c r="L70" s="75"/>
      <c r="M70" s="75"/>
      <c r="O70" s="76"/>
      <c r="P70" s="76"/>
      <c r="Q70" s="76"/>
    </row>
    <row r="71" spans="1:26" ht="13.5" customHeight="1" x14ac:dyDescent="0.3">
      <c r="A71" s="85"/>
      <c r="B71" s="98" t="s">
        <v>177</v>
      </c>
      <c r="C71" s="87"/>
      <c r="D71" s="122"/>
      <c r="E71" s="122"/>
      <c r="F71" s="84"/>
      <c r="H71" s="110"/>
      <c r="K71" s="75"/>
      <c r="L71" s="75"/>
      <c r="M71" s="75"/>
      <c r="O71" s="76"/>
      <c r="P71" s="76"/>
      <c r="Q71" s="76"/>
    </row>
    <row r="72" spans="1:26" ht="13.5" customHeight="1" x14ac:dyDescent="0.3">
      <c r="A72" s="85"/>
      <c r="B72" s="98" t="s">
        <v>178</v>
      </c>
      <c r="C72" s="87"/>
      <c r="D72" s="122"/>
      <c r="E72" s="122"/>
      <c r="F72" s="84"/>
      <c r="K72" s="75"/>
      <c r="L72" s="75"/>
      <c r="M72" s="75"/>
      <c r="O72" s="76"/>
      <c r="P72" s="76"/>
      <c r="Q72" s="76"/>
    </row>
    <row r="73" spans="1:26" ht="13.5" customHeight="1" x14ac:dyDescent="0.3">
      <c r="A73" s="85"/>
      <c r="B73" s="98" t="s">
        <v>179</v>
      </c>
      <c r="C73" s="87"/>
      <c r="D73" s="122"/>
      <c r="E73" s="122"/>
      <c r="F73" s="84"/>
      <c r="K73" s="75"/>
      <c r="L73" s="75"/>
      <c r="M73" s="75"/>
      <c r="O73" s="76"/>
      <c r="P73" s="76"/>
      <c r="Q73" s="76"/>
    </row>
    <row r="74" spans="1:26" ht="13.5" customHeight="1" x14ac:dyDescent="0.3">
      <c r="A74" s="85"/>
      <c r="B74" s="98" t="s">
        <v>180</v>
      </c>
      <c r="C74" s="87"/>
      <c r="D74" s="122"/>
      <c r="E74" s="122"/>
      <c r="F74" s="84"/>
      <c r="K74" s="75"/>
      <c r="L74" s="75"/>
      <c r="M74" s="75"/>
      <c r="O74" s="76"/>
      <c r="P74" s="76"/>
      <c r="Q74" s="76"/>
    </row>
    <row r="75" spans="1:26" ht="13.5" customHeight="1" x14ac:dyDescent="0.3">
      <c r="A75" s="85"/>
      <c r="B75" s="98"/>
      <c r="C75" s="87"/>
      <c r="D75" s="122"/>
      <c r="E75" s="122"/>
      <c r="F75" s="84"/>
      <c r="K75" s="75"/>
      <c r="L75" s="75"/>
      <c r="M75" s="75"/>
      <c r="O75" s="76"/>
      <c r="P75" s="76"/>
      <c r="Q75" s="76"/>
    </row>
    <row r="76" spans="1:26" ht="13.5" customHeight="1" x14ac:dyDescent="0.3">
      <c r="A76" s="85" t="s">
        <v>2</v>
      </c>
      <c r="B76" s="86" t="s">
        <v>139</v>
      </c>
      <c r="C76" s="87">
        <v>1.3899999999999999E-2</v>
      </c>
      <c r="D76" s="122"/>
      <c r="E76" s="122"/>
      <c r="F76" s="84"/>
      <c r="H76" s="89"/>
      <c r="K76" s="75"/>
      <c r="L76" s="75"/>
      <c r="M76" s="75"/>
      <c r="O76" s="76"/>
      <c r="P76" s="76"/>
      <c r="Q76" s="76"/>
    </row>
    <row r="77" spans="1:26" ht="13.5" customHeight="1" x14ac:dyDescent="0.3">
      <c r="A77" s="85"/>
      <c r="B77" s="97" t="s">
        <v>172</v>
      </c>
      <c r="C77" s="87"/>
      <c r="D77" s="122"/>
      <c r="E77" s="122"/>
      <c r="F77" s="84"/>
      <c r="H77" s="95"/>
      <c r="I77" s="108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</row>
    <row r="78" spans="1:26" ht="13.5" customHeight="1" x14ac:dyDescent="0.3">
      <c r="A78" s="85"/>
      <c r="B78" s="97" t="s">
        <v>116</v>
      </c>
      <c r="C78" s="87"/>
      <c r="D78" s="122"/>
      <c r="E78" s="122"/>
      <c r="F78" s="84"/>
      <c r="K78" s="75"/>
      <c r="L78" s="75"/>
      <c r="M78" s="75"/>
      <c r="O78" s="76"/>
      <c r="P78" s="76"/>
      <c r="Q78" s="76"/>
    </row>
    <row r="79" spans="1:26" ht="13.5" customHeight="1" x14ac:dyDescent="0.3">
      <c r="A79" s="85"/>
      <c r="B79" s="97" t="s">
        <v>173</v>
      </c>
      <c r="C79" s="87"/>
      <c r="D79" s="122"/>
      <c r="E79" s="122"/>
      <c r="F79" s="84"/>
      <c r="K79" s="75"/>
      <c r="L79" s="75"/>
      <c r="M79" s="75"/>
      <c r="O79" s="76"/>
      <c r="P79" s="76"/>
      <c r="Q79" s="76"/>
    </row>
    <row r="80" spans="1:26" ht="13.5" customHeight="1" x14ac:dyDescent="0.3">
      <c r="A80" s="85"/>
      <c r="B80" s="98" t="s">
        <v>174</v>
      </c>
      <c r="C80" s="87"/>
      <c r="D80" s="122"/>
      <c r="E80" s="122"/>
      <c r="F80" s="84"/>
      <c r="H80" s="110"/>
      <c r="K80" s="75"/>
      <c r="L80" s="75"/>
      <c r="M80" s="75"/>
      <c r="O80" s="76"/>
      <c r="P80" s="76"/>
      <c r="Q80" s="76"/>
    </row>
    <row r="81" spans="1:26" ht="13.5" customHeight="1" x14ac:dyDescent="0.3">
      <c r="A81" s="85"/>
      <c r="B81" s="98" t="s">
        <v>175</v>
      </c>
      <c r="C81" s="87"/>
      <c r="D81" s="122"/>
      <c r="E81" s="122"/>
      <c r="F81" s="84"/>
      <c r="K81" s="75"/>
      <c r="L81" s="75"/>
      <c r="M81" s="75"/>
      <c r="O81" s="76"/>
      <c r="P81" s="76"/>
      <c r="Q81" s="76"/>
    </row>
    <row r="82" spans="1:26" ht="13.5" customHeight="1" x14ac:dyDescent="0.3">
      <c r="A82" s="85"/>
      <c r="B82" s="98" t="s">
        <v>176</v>
      </c>
      <c r="C82" s="87"/>
      <c r="D82" s="122"/>
      <c r="E82" s="122"/>
      <c r="F82" s="84"/>
      <c r="K82" s="75"/>
      <c r="L82" s="75"/>
      <c r="M82" s="75"/>
      <c r="O82" s="76"/>
      <c r="P82" s="76"/>
      <c r="Q82" s="76"/>
    </row>
    <row r="83" spans="1:26" ht="13.5" customHeight="1" x14ac:dyDescent="0.3">
      <c r="A83" s="85"/>
      <c r="B83" s="98"/>
      <c r="C83" s="87"/>
      <c r="D83" s="122"/>
      <c r="E83" s="122"/>
      <c r="F83" s="84"/>
      <c r="K83" s="75"/>
      <c r="L83" s="75"/>
      <c r="M83" s="75"/>
      <c r="O83" s="76"/>
      <c r="P83" s="76"/>
      <c r="Q83" s="76"/>
    </row>
    <row r="84" spans="1:26" ht="13.5" customHeight="1" x14ac:dyDescent="0.3">
      <c r="A84" s="85" t="s">
        <v>3</v>
      </c>
      <c r="B84" s="86" t="s">
        <v>96</v>
      </c>
      <c r="C84" s="87">
        <v>1.6999999999999999E-3</v>
      </c>
      <c r="D84" s="99"/>
      <c r="E84" s="122"/>
      <c r="F84" s="84"/>
      <c r="H84" s="89"/>
      <c r="K84" s="75"/>
      <c r="L84" s="75"/>
      <c r="M84" s="75"/>
      <c r="O84" s="76"/>
      <c r="P84" s="76"/>
      <c r="Q84" s="76"/>
    </row>
    <row r="85" spans="1:26" ht="13.5" customHeight="1" x14ac:dyDescent="0.3">
      <c r="A85" s="85"/>
      <c r="B85" s="97" t="s">
        <v>118</v>
      </c>
      <c r="C85" s="97"/>
      <c r="D85" s="122"/>
      <c r="E85" s="122"/>
      <c r="F85" s="84"/>
      <c r="H85" s="95"/>
      <c r="I85" s="96"/>
      <c r="K85" s="75"/>
      <c r="L85" s="75"/>
      <c r="M85" s="75"/>
      <c r="O85" s="76"/>
      <c r="P85" s="76"/>
      <c r="Q85" s="76"/>
    </row>
    <row r="86" spans="1:26" ht="13.5" customHeight="1" x14ac:dyDescent="0.3">
      <c r="A86" s="85"/>
      <c r="B86" s="97" t="s">
        <v>126</v>
      </c>
      <c r="C86" s="97"/>
      <c r="D86" s="122"/>
      <c r="E86" s="122"/>
      <c r="F86" s="84"/>
      <c r="K86" s="75"/>
      <c r="L86" s="75"/>
      <c r="M86" s="75"/>
      <c r="O86" s="76"/>
      <c r="P86" s="76"/>
      <c r="Q86" s="76"/>
    </row>
    <row r="87" spans="1:26" ht="13.5" customHeight="1" x14ac:dyDescent="0.3">
      <c r="A87" s="85"/>
      <c r="B87" s="97" t="s">
        <v>127</v>
      </c>
      <c r="C87" s="97"/>
      <c r="D87" s="122"/>
      <c r="E87" s="122"/>
      <c r="F87" s="84"/>
      <c r="K87" s="75"/>
      <c r="L87" s="75"/>
      <c r="M87" s="75"/>
      <c r="O87" s="76"/>
      <c r="P87" s="76"/>
      <c r="Q87" s="76"/>
    </row>
    <row r="88" spans="1:26" ht="13.5" customHeight="1" x14ac:dyDescent="0.3">
      <c r="A88" s="85"/>
      <c r="B88" s="98" t="s">
        <v>128</v>
      </c>
      <c r="C88" s="98"/>
      <c r="D88" s="122"/>
      <c r="E88" s="122"/>
      <c r="F88" s="84"/>
      <c r="K88" s="75"/>
      <c r="L88" s="75"/>
      <c r="M88" s="75"/>
      <c r="O88" s="76"/>
      <c r="P88" s="76"/>
      <c r="Q88" s="76"/>
    </row>
    <row r="89" spans="1:26" ht="13.5" customHeight="1" x14ac:dyDescent="0.3">
      <c r="A89" s="85"/>
      <c r="B89" s="97" t="s">
        <v>116</v>
      </c>
      <c r="C89" s="97"/>
      <c r="D89" s="122"/>
      <c r="E89" s="122"/>
      <c r="F89" s="84"/>
      <c r="K89" s="75"/>
      <c r="L89" s="75"/>
      <c r="M89" s="75"/>
      <c r="O89" s="76"/>
      <c r="P89" s="76"/>
      <c r="Q89" s="76"/>
    </row>
    <row r="90" spans="1:26" ht="13.5" customHeight="1" x14ac:dyDescent="0.3">
      <c r="A90" s="85"/>
      <c r="B90" s="97" t="s">
        <v>162</v>
      </c>
      <c r="C90" s="97"/>
      <c r="D90" s="122"/>
      <c r="E90" s="122"/>
      <c r="F90" s="84"/>
      <c r="H90" s="76"/>
      <c r="I90" s="7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</row>
    <row r="91" spans="1:26" ht="13.5" customHeight="1" x14ac:dyDescent="0.3">
      <c r="A91" s="85"/>
      <c r="B91" s="98" t="s">
        <v>163</v>
      </c>
      <c r="C91" s="98"/>
      <c r="D91" s="122"/>
      <c r="E91" s="122"/>
      <c r="F91" s="84"/>
      <c r="K91" s="75"/>
      <c r="L91" s="75"/>
      <c r="M91" s="75"/>
      <c r="O91" s="76"/>
      <c r="P91" s="76"/>
      <c r="Q91" s="76"/>
    </row>
    <row r="92" spans="1:26" ht="13.5" customHeight="1" x14ac:dyDescent="0.3">
      <c r="A92" s="85"/>
      <c r="B92" s="98" t="s">
        <v>164</v>
      </c>
      <c r="C92" s="98"/>
      <c r="D92" s="122"/>
      <c r="E92" s="122"/>
      <c r="F92" s="84"/>
      <c r="K92" s="75"/>
      <c r="L92" s="75"/>
      <c r="M92" s="75"/>
      <c r="O92" s="76"/>
      <c r="P92" s="76"/>
      <c r="Q92" s="76"/>
    </row>
    <row r="93" spans="1:26" ht="13.5" customHeight="1" x14ac:dyDescent="0.3">
      <c r="A93" s="85"/>
      <c r="B93" s="98" t="s">
        <v>165</v>
      </c>
      <c r="C93" s="98"/>
      <c r="D93" s="122"/>
      <c r="E93" s="122"/>
      <c r="F93" s="84"/>
      <c r="K93" s="75"/>
      <c r="L93" s="75"/>
      <c r="M93" s="75"/>
      <c r="O93" s="76"/>
      <c r="P93" s="76"/>
      <c r="Q93" s="76"/>
    </row>
    <row r="94" spans="1:26" ht="13.5" customHeight="1" x14ac:dyDescent="0.3">
      <c r="A94" s="85"/>
      <c r="B94" s="98" t="s">
        <v>166</v>
      </c>
      <c r="C94" s="98"/>
      <c r="D94" s="122"/>
      <c r="E94" s="122"/>
      <c r="F94" s="84"/>
      <c r="K94" s="75"/>
      <c r="L94" s="75"/>
      <c r="M94" s="75"/>
      <c r="O94" s="76"/>
      <c r="P94" s="76"/>
      <c r="Q94" s="76"/>
    </row>
    <row r="95" spans="1:26" ht="13.5" customHeight="1" x14ac:dyDescent="0.3">
      <c r="A95" s="85"/>
      <c r="B95" s="98" t="s">
        <v>167</v>
      </c>
      <c r="C95" s="98"/>
      <c r="D95" s="122"/>
      <c r="E95" s="122"/>
      <c r="F95" s="84"/>
      <c r="K95" s="75"/>
      <c r="L95" s="75"/>
      <c r="M95" s="75"/>
      <c r="O95" s="76"/>
      <c r="P95" s="76"/>
      <c r="Q95" s="76"/>
    </row>
    <row r="96" spans="1:26" ht="13.5" customHeight="1" x14ac:dyDescent="0.3">
      <c r="A96" s="85"/>
      <c r="B96" s="98"/>
      <c r="C96" s="87"/>
      <c r="D96" s="122"/>
      <c r="E96" s="122"/>
      <c r="F96" s="84"/>
      <c r="K96" s="75"/>
      <c r="L96" s="75"/>
      <c r="M96" s="75"/>
      <c r="O96" s="76"/>
      <c r="P96" s="76"/>
      <c r="Q96" s="76"/>
    </row>
    <row r="97" spans="1:26" ht="13.5" customHeight="1" x14ac:dyDescent="0.3">
      <c r="A97" s="85" t="s">
        <v>4</v>
      </c>
      <c r="B97" s="86" t="s">
        <v>29</v>
      </c>
      <c r="C97" s="87">
        <v>2.0999999999999999E-3</v>
      </c>
      <c r="D97" s="99"/>
      <c r="E97" s="122"/>
      <c r="F97" s="84"/>
      <c r="H97" s="89"/>
      <c r="K97" s="75"/>
      <c r="L97" s="75"/>
      <c r="M97" s="75"/>
      <c r="O97" s="76"/>
      <c r="P97" s="76"/>
      <c r="Q97" s="76"/>
    </row>
    <row r="98" spans="1:26" ht="13.5" customHeight="1" x14ac:dyDescent="0.3">
      <c r="A98" s="85"/>
      <c r="B98" s="97" t="s">
        <v>118</v>
      </c>
      <c r="C98" s="87"/>
      <c r="D98" s="122"/>
      <c r="E98" s="122"/>
      <c r="F98" s="84"/>
      <c r="H98" s="95"/>
      <c r="I98" s="96"/>
      <c r="K98" s="75"/>
      <c r="L98" s="75"/>
      <c r="M98" s="75"/>
      <c r="O98" s="76"/>
      <c r="P98" s="76"/>
      <c r="Q98" s="76"/>
    </row>
    <row r="99" spans="1:26" ht="13.5" customHeight="1" x14ac:dyDescent="0.3">
      <c r="A99" s="85"/>
      <c r="B99" s="97" t="s">
        <v>181</v>
      </c>
      <c r="C99" s="87"/>
      <c r="D99" s="122"/>
      <c r="E99" s="122"/>
      <c r="F99" s="84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</row>
    <row r="100" spans="1:26" ht="13.5" customHeight="1" x14ac:dyDescent="0.3">
      <c r="A100" s="85"/>
      <c r="B100" s="97" t="s">
        <v>116</v>
      </c>
      <c r="C100" s="87"/>
      <c r="D100" s="122"/>
      <c r="E100" s="122"/>
      <c r="F100" s="84"/>
      <c r="K100" s="75"/>
      <c r="L100" s="75"/>
      <c r="M100" s="75"/>
      <c r="O100" s="76"/>
      <c r="P100" s="76"/>
      <c r="Q100" s="76"/>
    </row>
    <row r="101" spans="1:26" ht="13.5" customHeight="1" x14ac:dyDescent="0.3">
      <c r="A101" s="85"/>
      <c r="B101" s="98" t="s">
        <v>182</v>
      </c>
      <c r="C101" s="87"/>
      <c r="D101" s="122"/>
      <c r="E101" s="122"/>
      <c r="F101" s="84"/>
      <c r="K101" s="75"/>
      <c r="L101" s="75"/>
      <c r="M101" s="75"/>
      <c r="O101" s="76"/>
      <c r="P101" s="76"/>
      <c r="Q101" s="76"/>
    </row>
    <row r="102" spans="1:26" ht="13.5" customHeight="1" x14ac:dyDescent="0.3">
      <c r="A102" s="85"/>
      <c r="B102" s="98" t="s">
        <v>183</v>
      </c>
      <c r="C102" s="87"/>
      <c r="D102" s="122"/>
      <c r="E102" s="122"/>
      <c r="F102" s="84"/>
      <c r="K102" s="75"/>
      <c r="L102" s="75"/>
      <c r="M102" s="75"/>
      <c r="O102" s="76"/>
      <c r="P102" s="76"/>
      <c r="Q102" s="76"/>
    </row>
    <row r="103" spans="1:26" ht="13.5" customHeight="1" x14ac:dyDescent="0.3">
      <c r="A103" s="85"/>
      <c r="B103" s="98" t="s">
        <v>184</v>
      </c>
      <c r="C103" s="87"/>
      <c r="D103" s="122"/>
      <c r="E103" s="122"/>
      <c r="F103" s="84"/>
      <c r="K103" s="75"/>
      <c r="L103" s="75"/>
      <c r="M103" s="75"/>
      <c r="O103" s="76"/>
      <c r="P103" s="76"/>
      <c r="Q103" s="76"/>
    </row>
    <row r="104" spans="1:26" ht="13.5" customHeight="1" x14ac:dyDescent="0.3">
      <c r="A104" s="85"/>
      <c r="B104" s="98" t="s">
        <v>185</v>
      </c>
      <c r="C104" s="87"/>
      <c r="D104" s="122"/>
      <c r="E104" s="122"/>
      <c r="F104" s="84"/>
      <c r="K104" s="75"/>
      <c r="L104" s="75"/>
      <c r="M104" s="75"/>
      <c r="O104" s="76"/>
      <c r="P104" s="76"/>
      <c r="Q104" s="76"/>
    </row>
    <row r="105" spans="1:26" ht="13.5" customHeight="1" x14ac:dyDescent="0.3">
      <c r="A105" s="85"/>
      <c r="B105" s="98" t="s">
        <v>186</v>
      </c>
      <c r="C105" s="87"/>
      <c r="D105" s="122"/>
      <c r="E105" s="122"/>
      <c r="F105" s="84"/>
      <c r="K105" s="75"/>
      <c r="L105" s="75"/>
      <c r="M105" s="75"/>
      <c r="O105" s="76"/>
      <c r="P105" s="76"/>
      <c r="Q105" s="76"/>
    </row>
    <row r="106" spans="1:26" ht="13.5" customHeight="1" x14ac:dyDescent="0.3">
      <c r="A106" s="82"/>
      <c r="B106" s="122"/>
      <c r="C106" s="122"/>
      <c r="D106" s="122"/>
      <c r="E106" s="122"/>
      <c r="F106" s="84"/>
      <c r="K106" s="75"/>
      <c r="L106" s="75"/>
      <c r="M106" s="75"/>
      <c r="O106" s="76"/>
      <c r="P106" s="76"/>
      <c r="Q106" s="76"/>
    </row>
    <row r="107" spans="1:26" ht="13.5" customHeight="1" x14ac:dyDescent="0.3">
      <c r="A107" s="85" t="s">
        <v>5</v>
      </c>
      <c r="B107" s="86" t="s">
        <v>28</v>
      </c>
      <c r="C107" s="87">
        <v>6.9999999999999999E-4</v>
      </c>
      <c r="D107" s="122"/>
      <c r="E107" s="122"/>
      <c r="F107" s="84"/>
      <c r="H107" s="89"/>
      <c r="K107" s="75"/>
      <c r="L107" s="75"/>
      <c r="M107" s="75"/>
      <c r="O107" s="76"/>
      <c r="P107" s="76"/>
      <c r="Q107" s="76"/>
    </row>
    <row r="108" spans="1:26" ht="13.5" customHeight="1" x14ac:dyDescent="0.3">
      <c r="A108" s="85"/>
      <c r="B108" s="97" t="s">
        <v>118</v>
      </c>
      <c r="C108" s="87"/>
      <c r="D108" s="122"/>
      <c r="E108" s="122"/>
      <c r="F108" s="84"/>
      <c r="K108" s="75"/>
      <c r="L108" s="75"/>
      <c r="M108" s="75"/>
      <c r="O108" s="76"/>
      <c r="P108" s="76"/>
      <c r="Q108" s="76"/>
    </row>
    <row r="109" spans="1:26" ht="13.5" customHeight="1" x14ac:dyDescent="0.3">
      <c r="A109" s="85"/>
      <c r="B109" s="97" t="s">
        <v>119</v>
      </c>
      <c r="C109" s="87"/>
      <c r="D109" s="122"/>
      <c r="E109" s="122"/>
      <c r="F109" s="84"/>
      <c r="K109" s="75"/>
      <c r="L109" s="75"/>
      <c r="M109" s="75"/>
      <c r="O109" s="76"/>
      <c r="P109" s="76"/>
      <c r="Q109" s="76"/>
    </row>
    <row r="110" spans="1:26" x14ac:dyDescent="0.3">
      <c r="A110" s="85"/>
      <c r="B110" s="97" t="s">
        <v>158</v>
      </c>
      <c r="C110" s="87"/>
      <c r="D110" s="122"/>
      <c r="E110" s="122"/>
      <c r="F110" s="84"/>
      <c r="H110" s="95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</row>
    <row r="111" spans="1:26" ht="13.5" customHeight="1" x14ac:dyDescent="0.3">
      <c r="A111" s="85"/>
      <c r="B111" s="97" t="s">
        <v>120</v>
      </c>
      <c r="C111" s="87"/>
      <c r="D111" s="122"/>
      <c r="E111" s="122"/>
      <c r="F111" s="84"/>
      <c r="K111" s="75"/>
      <c r="L111" s="75"/>
      <c r="M111" s="75"/>
      <c r="O111" s="76"/>
      <c r="P111" s="76"/>
      <c r="Q111" s="76"/>
    </row>
    <row r="112" spans="1:26" ht="13.5" customHeight="1" x14ac:dyDescent="0.3">
      <c r="A112" s="85"/>
      <c r="B112" s="97" t="s">
        <v>116</v>
      </c>
      <c r="C112" s="87"/>
      <c r="D112" s="122"/>
      <c r="E112" s="122"/>
      <c r="F112" s="84"/>
      <c r="K112" s="75"/>
      <c r="L112" s="75"/>
      <c r="M112" s="75"/>
      <c r="O112" s="76"/>
      <c r="P112" s="76"/>
      <c r="Q112" s="76"/>
    </row>
    <row r="113" spans="1:17" ht="13.5" customHeight="1" x14ac:dyDescent="0.3">
      <c r="A113" s="85"/>
      <c r="B113" s="98" t="s">
        <v>159</v>
      </c>
      <c r="C113" s="87"/>
      <c r="D113" s="122"/>
      <c r="E113" s="122"/>
      <c r="F113" s="84"/>
      <c r="K113" s="75"/>
      <c r="L113" s="75"/>
      <c r="M113" s="75"/>
      <c r="O113" s="76"/>
      <c r="P113" s="76"/>
      <c r="Q113" s="76"/>
    </row>
    <row r="114" spans="1:17" ht="13.5" customHeight="1" x14ac:dyDescent="0.3">
      <c r="A114" s="82"/>
      <c r="B114" s="98" t="s">
        <v>160</v>
      </c>
      <c r="C114" s="122"/>
      <c r="D114" s="122"/>
      <c r="E114" s="122"/>
      <c r="F114" s="84"/>
      <c r="K114" s="75"/>
      <c r="L114" s="75"/>
      <c r="M114" s="75"/>
      <c r="O114" s="76"/>
      <c r="P114" s="76"/>
      <c r="Q114" s="76"/>
    </row>
    <row r="115" spans="1:17" ht="13.5" customHeight="1" x14ac:dyDescent="0.3">
      <c r="A115" s="82"/>
      <c r="B115" s="98" t="s">
        <v>161</v>
      </c>
      <c r="C115" s="122"/>
      <c r="D115" s="122"/>
      <c r="E115" s="122"/>
      <c r="F115" s="84"/>
      <c r="K115" s="75"/>
      <c r="L115" s="75"/>
      <c r="M115" s="75"/>
      <c r="O115" s="76"/>
      <c r="P115" s="76"/>
      <c r="Q115" s="76"/>
    </row>
    <row r="116" spans="1:17" x14ac:dyDescent="0.3">
      <c r="A116" s="82"/>
      <c r="B116" s="122"/>
      <c r="C116" s="122"/>
      <c r="D116" s="122"/>
      <c r="E116" s="122"/>
      <c r="F116" s="84"/>
    </row>
    <row r="117" spans="1:17" ht="23.25" customHeight="1" thickBot="1" x14ac:dyDescent="0.35">
      <c r="A117" s="90" t="s">
        <v>6</v>
      </c>
      <c r="B117" s="91" t="s">
        <v>155</v>
      </c>
      <c r="C117" s="92">
        <v>9.0305919999999998E-2</v>
      </c>
      <c r="D117" s="93"/>
      <c r="E117" s="93"/>
      <c r="F117" s="94"/>
      <c r="H117" s="89"/>
      <c r="K117" s="75"/>
      <c r="L117" s="75"/>
      <c r="M117" s="75"/>
      <c r="O117" s="76"/>
      <c r="P117" s="76"/>
      <c r="Q117" s="76"/>
    </row>
    <row r="118" spans="1:17" x14ac:dyDescent="0.3">
      <c r="A118" s="122"/>
      <c r="B118" s="122"/>
      <c r="C118" s="122"/>
      <c r="D118" s="122"/>
      <c r="E118" s="122"/>
      <c r="F118" s="122"/>
    </row>
    <row r="119" spans="1:17" x14ac:dyDescent="0.3">
      <c r="C119" s="110"/>
    </row>
  </sheetData>
  <mergeCells count="2">
    <mergeCell ref="A1:F1"/>
    <mergeCell ref="D16:D23"/>
  </mergeCells>
  <printOptions horizontalCentered="1"/>
  <pageMargins left="0.59055118110236227" right="0.39370078740157483" top="1.1811023622047245" bottom="0.78740157480314965" header="0.19685039370078741" footer="0.19685039370078741"/>
  <pageSetup paperSize="9" scale="70" fitToHeight="2" orientation="portrait" r:id="rId1"/>
  <headerFooter alignWithMargins="0">
    <oddHeader>&amp;R&amp;G</oddHeader>
    <oddFooter>&amp;CLINCE SEGURANÇA PATRIMONIAL LTDA. Av. São Paulo, 1049, São Geraldo, Porto Alegre/RS&amp;R&amp;P de &amp;N</oddFooter>
  </headerFooter>
  <rowBreaks count="1" manualBreakCount="1">
    <brk id="56" max="5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0">
    <tabColor theme="6"/>
  </sheetPr>
  <dimension ref="A1:I42"/>
  <sheetViews>
    <sheetView view="pageBreakPreview" topLeftCell="C31" zoomScaleNormal="100" zoomScaleSheetLayoutView="100" workbookViewId="0">
      <selection activeCell="F44" sqref="F44"/>
    </sheetView>
  </sheetViews>
  <sheetFormatPr defaultColWidth="9.1796875" defaultRowHeight="13.5" x14ac:dyDescent="0.25"/>
  <cols>
    <col min="1" max="1" width="9.1796875" style="196"/>
    <col min="2" max="2" width="33.54296875" style="196" customWidth="1"/>
    <col min="3" max="4" width="9.26953125" style="196" bestFit="1" customWidth="1"/>
    <col min="5" max="6" width="12.1796875" style="196" bestFit="1" customWidth="1"/>
    <col min="7" max="7" width="11.1796875" style="196" bestFit="1" customWidth="1"/>
    <col min="8" max="8" width="9.26953125" style="196" bestFit="1" customWidth="1"/>
    <col min="9" max="9" width="9.7265625" style="196" bestFit="1" customWidth="1"/>
    <col min="10" max="16384" width="9.1796875" style="196"/>
  </cols>
  <sheetData>
    <row r="1" spans="1:9" x14ac:dyDescent="0.25">
      <c r="A1" s="519" t="s">
        <v>268</v>
      </c>
      <c r="B1" s="520"/>
      <c r="C1" s="520"/>
      <c r="D1" s="520"/>
      <c r="E1" s="520"/>
      <c r="F1" s="520"/>
      <c r="G1" s="520"/>
      <c r="H1" s="521"/>
    </row>
    <row r="2" spans="1:9" ht="54" x14ac:dyDescent="0.25">
      <c r="A2" s="512" t="s">
        <v>43</v>
      </c>
      <c r="B2" s="513"/>
      <c r="C2" s="191" t="s">
        <v>269</v>
      </c>
      <c r="D2" s="191" t="s">
        <v>270</v>
      </c>
      <c r="E2" s="319" t="s">
        <v>271</v>
      </c>
      <c r="F2" s="345" t="s">
        <v>338</v>
      </c>
      <c r="G2" s="191" t="s">
        <v>272</v>
      </c>
      <c r="H2" s="197" t="s">
        <v>273</v>
      </c>
      <c r="I2" s="346" t="s">
        <v>339</v>
      </c>
    </row>
    <row r="3" spans="1:9" x14ac:dyDescent="0.25">
      <c r="A3" s="504" t="s">
        <v>274</v>
      </c>
      <c r="B3" s="505"/>
      <c r="C3" s="192">
        <v>1</v>
      </c>
      <c r="D3" s="193">
        <v>2</v>
      </c>
      <c r="E3" s="203">
        <v>25</v>
      </c>
      <c r="F3" s="203">
        <f>E3*$I$3</f>
        <v>27.515262499999999</v>
      </c>
      <c r="G3" s="194">
        <f>ROUND(F3*D3*C3,2)</f>
        <v>55.03</v>
      </c>
      <c r="H3" s="198">
        <f>ROUND(G3/12,2)</f>
        <v>4.59</v>
      </c>
      <c r="I3" s="349">
        <v>1.1006104999999999</v>
      </c>
    </row>
    <row r="4" spans="1:9" x14ac:dyDescent="0.25">
      <c r="A4" s="504" t="s">
        <v>275</v>
      </c>
      <c r="B4" s="505"/>
      <c r="C4" s="192">
        <v>1</v>
      </c>
      <c r="D4" s="193">
        <v>2</v>
      </c>
      <c r="E4" s="203">
        <v>22.5</v>
      </c>
      <c r="F4" s="203">
        <f t="shared" ref="F4:F11" si="0">E4*$I$3</f>
        <v>24.763736249999997</v>
      </c>
      <c r="G4" s="194">
        <f t="shared" ref="G4:G11" si="1">ROUND(F4*D4*C4,2)</f>
        <v>49.53</v>
      </c>
      <c r="H4" s="198">
        <f t="shared" ref="H4:H11" si="2">ROUND(G4/12,2)</f>
        <v>4.13</v>
      </c>
    </row>
    <row r="5" spans="1:9" x14ac:dyDescent="0.25">
      <c r="A5" s="504" t="s">
        <v>276</v>
      </c>
      <c r="B5" s="505"/>
      <c r="C5" s="192">
        <v>1</v>
      </c>
      <c r="D5" s="193">
        <v>1</v>
      </c>
      <c r="E5" s="203">
        <v>8</v>
      </c>
      <c r="F5" s="203">
        <f t="shared" si="0"/>
        <v>8.8048839999999995</v>
      </c>
      <c r="G5" s="194">
        <f t="shared" si="1"/>
        <v>8.8000000000000007</v>
      </c>
      <c r="H5" s="198">
        <f t="shared" si="2"/>
        <v>0.73</v>
      </c>
    </row>
    <row r="6" spans="1:9" x14ac:dyDescent="0.25">
      <c r="A6" s="504" t="s">
        <v>277</v>
      </c>
      <c r="B6" s="505"/>
      <c r="C6" s="192">
        <v>1</v>
      </c>
      <c r="D6" s="193">
        <v>1</v>
      </c>
      <c r="E6" s="203">
        <v>45</v>
      </c>
      <c r="F6" s="203">
        <f t="shared" si="0"/>
        <v>49.527472499999995</v>
      </c>
      <c r="G6" s="194">
        <f t="shared" si="1"/>
        <v>49.53</v>
      </c>
      <c r="H6" s="198">
        <f t="shared" si="2"/>
        <v>4.13</v>
      </c>
    </row>
    <row r="7" spans="1:9" x14ac:dyDescent="0.25">
      <c r="A7" s="504" t="s">
        <v>278</v>
      </c>
      <c r="B7" s="505"/>
      <c r="C7" s="192">
        <v>1</v>
      </c>
      <c r="D7" s="193">
        <v>2</v>
      </c>
      <c r="E7" s="203">
        <v>3</v>
      </c>
      <c r="F7" s="203">
        <f t="shared" si="0"/>
        <v>3.3018314999999996</v>
      </c>
      <c r="G7" s="194">
        <f t="shared" si="1"/>
        <v>6.6</v>
      </c>
      <c r="H7" s="198">
        <f t="shared" si="2"/>
        <v>0.55000000000000004</v>
      </c>
    </row>
    <row r="8" spans="1:9" x14ac:dyDescent="0.25">
      <c r="A8" s="504" t="s">
        <v>279</v>
      </c>
      <c r="B8" s="505"/>
      <c r="C8" s="192">
        <v>1</v>
      </c>
      <c r="D8" s="193">
        <v>1</v>
      </c>
      <c r="E8" s="203">
        <v>10</v>
      </c>
      <c r="F8" s="203">
        <f t="shared" si="0"/>
        <v>11.006105</v>
      </c>
      <c r="G8" s="194">
        <f t="shared" si="1"/>
        <v>11.01</v>
      </c>
      <c r="H8" s="198">
        <f t="shared" si="2"/>
        <v>0.92</v>
      </c>
    </row>
    <row r="9" spans="1:9" x14ac:dyDescent="0.25">
      <c r="A9" s="504" t="s">
        <v>280</v>
      </c>
      <c r="B9" s="505"/>
      <c r="C9" s="192">
        <v>1</v>
      </c>
      <c r="D9" s="193">
        <v>1</v>
      </c>
      <c r="E9" s="203">
        <v>25</v>
      </c>
      <c r="F9" s="203">
        <f t="shared" si="0"/>
        <v>27.515262499999999</v>
      </c>
      <c r="G9" s="194">
        <f t="shared" si="1"/>
        <v>27.52</v>
      </c>
      <c r="H9" s="198">
        <f t="shared" si="2"/>
        <v>2.29</v>
      </c>
    </row>
    <row r="10" spans="1:9" x14ac:dyDescent="0.25">
      <c r="A10" s="504" t="s">
        <v>281</v>
      </c>
      <c r="B10" s="505"/>
      <c r="C10" s="192">
        <v>1</v>
      </c>
      <c r="D10" s="193">
        <v>1</v>
      </c>
      <c r="E10" s="203">
        <v>10</v>
      </c>
      <c r="F10" s="203">
        <f t="shared" si="0"/>
        <v>11.006105</v>
      </c>
      <c r="G10" s="194">
        <f t="shared" si="1"/>
        <v>11.01</v>
      </c>
      <c r="H10" s="198">
        <f t="shared" si="2"/>
        <v>0.92</v>
      </c>
    </row>
    <row r="11" spans="1:9" x14ac:dyDescent="0.25">
      <c r="A11" s="504" t="s">
        <v>282</v>
      </c>
      <c r="B11" s="505"/>
      <c r="C11" s="192">
        <v>1</v>
      </c>
      <c r="D11" s="193">
        <v>1</v>
      </c>
      <c r="E11" s="203">
        <v>5</v>
      </c>
      <c r="F11" s="203">
        <f t="shared" si="0"/>
        <v>5.5030524999999999</v>
      </c>
      <c r="G11" s="194">
        <f t="shared" si="1"/>
        <v>5.5</v>
      </c>
      <c r="H11" s="198">
        <f t="shared" si="2"/>
        <v>0.46</v>
      </c>
    </row>
    <row r="12" spans="1:9" x14ac:dyDescent="0.25">
      <c r="A12" s="506" t="s">
        <v>157</v>
      </c>
      <c r="B12" s="507"/>
      <c r="C12" s="507"/>
      <c r="D12" s="507"/>
      <c r="E12" s="507"/>
      <c r="F12" s="507"/>
      <c r="G12" s="507"/>
      <c r="H12" s="199">
        <f>ROUND(SUM(H3:H11),2)</f>
        <v>18.72</v>
      </c>
    </row>
    <row r="13" spans="1:9" x14ac:dyDescent="0.25">
      <c r="A13" s="514" t="s">
        <v>283</v>
      </c>
      <c r="B13" s="515"/>
      <c r="C13" s="515"/>
      <c r="D13" s="515"/>
      <c r="E13" s="515"/>
      <c r="F13" s="515"/>
      <c r="G13" s="515"/>
      <c r="H13" s="516"/>
    </row>
    <row r="14" spans="1:9" x14ac:dyDescent="0.25">
      <c r="A14" s="200"/>
      <c r="B14" s="195"/>
      <c r="C14" s="195"/>
      <c r="D14" s="195"/>
      <c r="E14" s="195"/>
      <c r="F14" s="195"/>
      <c r="G14" s="195"/>
      <c r="H14" s="201"/>
    </row>
    <row r="15" spans="1:9" x14ac:dyDescent="0.25">
      <c r="A15" s="506" t="s">
        <v>300</v>
      </c>
      <c r="B15" s="507"/>
      <c r="C15" s="507"/>
      <c r="D15" s="507"/>
      <c r="E15" s="507"/>
      <c r="F15" s="507"/>
      <c r="G15" s="507"/>
      <c r="H15" s="511"/>
    </row>
    <row r="16" spans="1:9" ht="54" x14ac:dyDescent="0.25">
      <c r="A16" s="512" t="s">
        <v>43</v>
      </c>
      <c r="B16" s="513"/>
      <c r="C16" s="191" t="s">
        <v>269</v>
      </c>
      <c r="D16" s="191" t="s">
        <v>284</v>
      </c>
      <c r="E16" s="319" t="s">
        <v>271</v>
      </c>
      <c r="F16" s="345" t="s">
        <v>338</v>
      </c>
      <c r="G16" s="191" t="s">
        <v>285</v>
      </c>
      <c r="H16" s="197" t="s">
        <v>273</v>
      </c>
    </row>
    <row r="17" spans="1:8" x14ac:dyDescent="0.25">
      <c r="A17" s="517" t="s">
        <v>286</v>
      </c>
      <c r="B17" s="518"/>
      <c r="C17" s="192">
        <v>1</v>
      </c>
      <c r="D17" s="193">
        <v>1</v>
      </c>
      <c r="E17" s="203">
        <v>650</v>
      </c>
      <c r="F17" s="203">
        <f>E17*$I$3</f>
        <v>715.39682499999992</v>
      </c>
      <c r="G17" s="194">
        <f>ROUND(F17*D17*C17,2)</f>
        <v>715.4</v>
      </c>
      <c r="H17" s="202">
        <f>ROUND(G17/60,2)</f>
        <v>11.92</v>
      </c>
    </row>
    <row r="18" spans="1:8" x14ac:dyDescent="0.25">
      <c r="A18" s="517" t="s">
        <v>287</v>
      </c>
      <c r="B18" s="518"/>
      <c r="C18" s="192">
        <v>1</v>
      </c>
      <c r="D18" s="193">
        <v>1</v>
      </c>
      <c r="E18" s="203">
        <v>30</v>
      </c>
      <c r="F18" s="203">
        <f>E18*$I$3</f>
        <v>33.018315000000001</v>
      </c>
      <c r="G18" s="194">
        <f t="shared" ref="G18:G28" si="3">ROUND(F18*D18*C18,2)</f>
        <v>33.020000000000003</v>
      </c>
      <c r="H18" s="202">
        <f t="shared" ref="H18:H28" si="4">ROUND(G18/60,2)</f>
        <v>0.55000000000000004</v>
      </c>
    </row>
    <row r="19" spans="1:8" x14ac:dyDescent="0.25">
      <c r="A19" s="517" t="s">
        <v>288</v>
      </c>
      <c r="B19" s="518"/>
      <c r="C19" s="192">
        <v>1</v>
      </c>
      <c r="D19" s="193">
        <v>1</v>
      </c>
      <c r="E19" s="203">
        <v>700</v>
      </c>
      <c r="F19" s="203">
        <f>E19*$I$3</f>
        <v>770.42734999999993</v>
      </c>
      <c r="G19" s="194">
        <f t="shared" si="3"/>
        <v>770.43</v>
      </c>
      <c r="H19" s="202">
        <f t="shared" si="4"/>
        <v>12.84</v>
      </c>
    </row>
    <row r="20" spans="1:8" x14ac:dyDescent="0.25">
      <c r="A20" s="504" t="s">
        <v>296</v>
      </c>
      <c r="B20" s="505"/>
      <c r="C20" s="192">
        <v>1</v>
      </c>
      <c r="D20" s="193">
        <v>1</v>
      </c>
      <c r="E20" s="203">
        <v>150</v>
      </c>
      <c r="F20" s="203">
        <f>E20*$I$3</f>
        <v>165.09157499999998</v>
      </c>
      <c r="G20" s="194">
        <f>ROUND(F20*D20*C20,2)</f>
        <v>165.09</v>
      </c>
      <c r="H20" s="202">
        <f>ROUND(G20/60,2)</f>
        <v>2.75</v>
      </c>
    </row>
    <row r="21" spans="1:8" x14ac:dyDescent="0.25">
      <c r="A21" s="504" t="s">
        <v>297</v>
      </c>
      <c r="B21" s="505"/>
      <c r="C21" s="192">
        <v>1</v>
      </c>
      <c r="D21" s="193">
        <v>1</v>
      </c>
      <c r="E21" s="203">
        <v>40</v>
      </c>
      <c r="F21" s="203">
        <f>E21*$I$3</f>
        <v>44.024419999999999</v>
      </c>
      <c r="G21" s="194">
        <f t="shared" si="3"/>
        <v>44.02</v>
      </c>
      <c r="H21" s="202">
        <f t="shared" si="4"/>
        <v>0.73</v>
      </c>
    </row>
    <row r="22" spans="1:8" x14ac:dyDescent="0.25">
      <c r="A22" s="504" t="s">
        <v>289</v>
      </c>
      <c r="B22" s="505"/>
      <c r="C22" s="192">
        <v>1</v>
      </c>
      <c r="D22" s="193">
        <v>6</v>
      </c>
      <c r="E22" s="203">
        <v>5</v>
      </c>
      <c r="F22" s="203">
        <f t="shared" ref="F22:F28" si="5">E22*$I$3</f>
        <v>5.5030524999999999</v>
      </c>
      <c r="G22" s="194">
        <f>ROUND(F22*D22*C22,2)</f>
        <v>33.020000000000003</v>
      </c>
      <c r="H22" s="202">
        <f t="shared" si="4"/>
        <v>0.55000000000000004</v>
      </c>
    </row>
    <row r="23" spans="1:8" x14ac:dyDescent="0.25">
      <c r="A23" s="504" t="s">
        <v>290</v>
      </c>
      <c r="B23" s="505"/>
      <c r="C23" s="192">
        <v>1</v>
      </c>
      <c r="D23" s="193">
        <v>1</v>
      </c>
      <c r="E23" s="203">
        <v>45</v>
      </c>
      <c r="F23" s="203">
        <f t="shared" si="5"/>
        <v>49.527472499999995</v>
      </c>
      <c r="G23" s="194">
        <f t="shared" si="3"/>
        <v>49.53</v>
      </c>
      <c r="H23" s="202">
        <f t="shared" si="4"/>
        <v>0.83</v>
      </c>
    </row>
    <row r="24" spans="1:8" x14ac:dyDescent="0.25">
      <c r="A24" s="504" t="s">
        <v>293</v>
      </c>
      <c r="B24" s="505"/>
      <c r="C24" s="192">
        <v>1</v>
      </c>
      <c r="D24" s="193">
        <v>1</v>
      </c>
      <c r="E24" s="203">
        <v>7.5</v>
      </c>
      <c r="F24" s="203">
        <f t="shared" si="5"/>
        <v>8.2545787500000003</v>
      </c>
      <c r="G24" s="194">
        <f>ROUND(F24*D24*C24,2)</f>
        <v>8.25</v>
      </c>
      <c r="H24" s="202">
        <f>ROUND(G24/60,2)</f>
        <v>0.14000000000000001</v>
      </c>
    </row>
    <row r="25" spans="1:8" x14ac:dyDescent="0.25">
      <c r="A25" s="504" t="s">
        <v>294</v>
      </c>
      <c r="B25" s="505"/>
      <c r="C25" s="192">
        <v>1</v>
      </c>
      <c r="D25" s="193">
        <v>3</v>
      </c>
      <c r="E25" s="203">
        <v>1</v>
      </c>
      <c r="F25" s="203">
        <f t="shared" si="5"/>
        <v>1.1006104999999999</v>
      </c>
      <c r="G25" s="194">
        <f>ROUND(F25*D25*C25,2)</f>
        <v>3.3</v>
      </c>
      <c r="H25" s="202">
        <f>ROUND(G25/60,2)</f>
        <v>0.06</v>
      </c>
    </row>
    <row r="26" spans="1:8" x14ac:dyDescent="0.25">
      <c r="A26" s="504" t="s">
        <v>291</v>
      </c>
      <c r="B26" s="505"/>
      <c r="C26" s="192">
        <v>1</v>
      </c>
      <c r="D26" s="193">
        <v>5</v>
      </c>
      <c r="E26" s="203">
        <v>20</v>
      </c>
      <c r="F26" s="203">
        <f t="shared" si="5"/>
        <v>22.01221</v>
      </c>
      <c r="G26" s="194">
        <f t="shared" si="3"/>
        <v>110.06</v>
      </c>
      <c r="H26" s="202">
        <f t="shared" si="4"/>
        <v>1.83</v>
      </c>
    </row>
    <row r="27" spans="1:8" ht="51" customHeight="1" x14ac:dyDescent="0.25">
      <c r="A27" s="504" t="s">
        <v>295</v>
      </c>
      <c r="B27" s="505"/>
      <c r="C27" s="192">
        <v>1</v>
      </c>
      <c r="D27" s="193">
        <v>1</v>
      </c>
      <c r="E27" s="203">
        <v>25</v>
      </c>
      <c r="F27" s="203">
        <f t="shared" si="5"/>
        <v>27.515262499999999</v>
      </c>
      <c r="G27" s="194">
        <f t="shared" si="3"/>
        <v>27.52</v>
      </c>
      <c r="H27" s="202">
        <f t="shared" si="4"/>
        <v>0.46</v>
      </c>
    </row>
    <row r="28" spans="1:8" x14ac:dyDescent="0.25">
      <c r="A28" s="504" t="s">
        <v>292</v>
      </c>
      <c r="B28" s="505"/>
      <c r="C28" s="192">
        <v>1</v>
      </c>
      <c r="D28" s="193">
        <v>1</v>
      </c>
      <c r="E28" s="203">
        <v>150</v>
      </c>
      <c r="F28" s="203">
        <f t="shared" si="5"/>
        <v>165.09157499999998</v>
      </c>
      <c r="G28" s="194">
        <f t="shared" si="3"/>
        <v>165.09</v>
      </c>
      <c r="H28" s="202">
        <f t="shared" si="4"/>
        <v>2.75</v>
      </c>
    </row>
    <row r="29" spans="1:8" x14ac:dyDescent="0.25">
      <c r="A29" s="506" t="s">
        <v>157</v>
      </c>
      <c r="B29" s="507"/>
      <c r="C29" s="507"/>
      <c r="D29" s="507"/>
      <c r="E29" s="507"/>
      <c r="F29" s="507"/>
      <c r="G29" s="507"/>
      <c r="H29" s="199">
        <f>ROUND(SUM(H17:H28),2)</f>
        <v>35.409999999999997</v>
      </c>
    </row>
    <row r="30" spans="1:8" ht="14" thickBot="1" x14ac:dyDescent="0.3">
      <c r="A30" s="508" t="s">
        <v>298</v>
      </c>
      <c r="B30" s="509"/>
      <c r="C30" s="509"/>
      <c r="D30" s="509"/>
      <c r="E30" s="509"/>
      <c r="F30" s="509"/>
      <c r="G30" s="509"/>
      <c r="H30" s="510"/>
    </row>
    <row r="31" spans="1:8" x14ac:dyDescent="0.25">
      <c r="A31" s="506" t="s">
        <v>299</v>
      </c>
      <c r="B31" s="507"/>
      <c r="C31" s="507"/>
      <c r="D31" s="507"/>
      <c r="E31" s="507"/>
      <c r="F31" s="507"/>
      <c r="G31" s="507"/>
      <c r="H31" s="511"/>
    </row>
    <row r="32" spans="1:8" ht="54" x14ac:dyDescent="0.25">
      <c r="A32" s="512" t="s">
        <v>43</v>
      </c>
      <c r="B32" s="513"/>
      <c r="C32" s="191" t="s">
        <v>269</v>
      </c>
      <c r="D32" s="191" t="s">
        <v>284</v>
      </c>
      <c r="E32" s="319" t="s">
        <v>271</v>
      </c>
      <c r="F32" s="345" t="s">
        <v>338</v>
      </c>
      <c r="G32" s="191" t="s">
        <v>285</v>
      </c>
      <c r="H32" s="197" t="s">
        <v>273</v>
      </c>
    </row>
    <row r="33" spans="1:8" x14ac:dyDescent="0.25">
      <c r="A33" s="504" t="s">
        <v>288</v>
      </c>
      <c r="B33" s="505"/>
      <c r="C33" s="192">
        <v>1</v>
      </c>
      <c r="D33" s="193">
        <v>1</v>
      </c>
      <c r="E33" s="203">
        <v>700</v>
      </c>
      <c r="F33" s="203">
        <f t="shared" ref="F33:F40" si="6">E33*$I$3</f>
        <v>770.42734999999993</v>
      </c>
      <c r="G33" s="194">
        <f>ROUND(F33*D33*C33,2)</f>
        <v>770.43</v>
      </c>
      <c r="H33" s="202">
        <f t="shared" ref="H33:H40" si="7">ROUND(G33/60,2)</f>
        <v>12.84</v>
      </c>
    </row>
    <row r="34" spans="1:8" x14ac:dyDescent="0.25">
      <c r="A34" s="504" t="s">
        <v>289</v>
      </c>
      <c r="B34" s="505"/>
      <c r="C34" s="192">
        <v>1</v>
      </c>
      <c r="D34" s="193">
        <v>6</v>
      </c>
      <c r="E34" s="203">
        <v>5</v>
      </c>
      <c r="F34" s="203">
        <f t="shared" si="6"/>
        <v>5.5030524999999999</v>
      </c>
      <c r="G34" s="194">
        <f>ROUND(F34*D34*C34,2)</f>
        <v>33.020000000000003</v>
      </c>
      <c r="H34" s="202">
        <f t="shared" si="7"/>
        <v>0.55000000000000004</v>
      </c>
    </row>
    <row r="35" spans="1:8" x14ac:dyDescent="0.25">
      <c r="A35" s="504" t="s">
        <v>290</v>
      </c>
      <c r="B35" s="505"/>
      <c r="C35" s="192">
        <v>1</v>
      </c>
      <c r="D35" s="193">
        <v>1</v>
      </c>
      <c r="E35" s="203">
        <v>45</v>
      </c>
      <c r="F35" s="203">
        <f t="shared" si="6"/>
        <v>49.527472499999995</v>
      </c>
      <c r="G35" s="194">
        <f t="shared" ref="G35:G40" si="8">ROUND(F35*D35*C35,2)</f>
        <v>49.53</v>
      </c>
      <c r="H35" s="202">
        <f t="shared" si="7"/>
        <v>0.83</v>
      </c>
    </row>
    <row r="36" spans="1:8" x14ac:dyDescent="0.25">
      <c r="A36" s="504" t="s">
        <v>293</v>
      </c>
      <c r="B36" s="505"/>
      <c r="C36" s="192">
        <v>1</v>
      </c>
      <c r="D36" s="193">
        <v>1</v>
      </c>
      <c r="E36" s="203">
        <v>7.5</v>
      </c>
      <c r="F36" s="203">
        <f t="shared" si="6"/>
        <v>8.2545787500000003</v>
      </c>
      <c r="G36" s="194">
        <f t="shared" si="8"/>
        <v>8.25</v>
      </c>
      <c r="H36" s="202">
        <f t="shared" si="7"/>
        <v>0.14000000000000001</v>
      </c>
    </row>
    <row r="37" spans="1:8" x14ac:dyDescent="0.25">
      <c r="A37" s="504" t="s">
        <v>294</v>
      </c>
      <c r="B37" s="505"/>
      <c r="C37" s="192">
        <v>1</v>
      </c>
      <c r="D37" s="193">
        <v>3</v>
      </c>
      <c r="E37" s="203">
        <v>1</v>
      </c>
      <c r="F37" s="203">
        <f t="shared" si="6"/>
        <v>1.1006104999999999</v>
      </c>
      <c r="G37" s="194">
        <f t="shared" si="8"/>
        <v>3.3</v>
      </c>
      <c r="H37" s="202">
        <f t="shared" si="7"/>
        <v>0.06</v>
      </c>
    </row>
    <row r="38" spans="1:8" x14ac:dyDescent="0.25">
      <c r="A38" s="504" t="s">
        <v>291</v>
      </c>
      <c r="B38" s="505"/>
      <c r="C38" s="192">
        <v>1</v>
      </c>
      <c r="D38" s="193">
        <v>5</v>
      </c>
      <c r="E38" s="203">
        <v>20</v>
      </c>
      <c r="F38" s="203">
        <f t="shared" si="6"/>
        <v>22.01221</v>
      </c>
      <c r="G38" s="194">
        <f t="shared" si="8"/>
        <v>110.06</v>
      </c>
      <c r="H38" s="202">
        <f t="shared" si="7"/>
        <v>1.83</v>
      </c>
    </row>
    <row r="39" spans="1:8" ht="51" customHeight="1" x14ac:dyDescent="0.25">
      <c r="A39" s="504" t="s">
        <v>295</v>
      </c>
      <c r="B39" s="505"/>
      <c r="C39" s="192">
        <v>1</v>
      </c>
      <c r="D39" s="193">
        <v>1</v>
      </c>
      <c r="E39" s="203">
        <v>25</v>
      </c>
      <c r="F39" s="203">
        <f t="shared" si="6"/>
        <v>27.515262499999999</v>
      </c>
      <c r="G39" s="194">
        <f t="shared" si="8"/>
        <v>27.52</v>
      </c>
      <c r="H39" s="202">
        <f t="shared" si="7"/>
        <v>0.46</v>
      </c>
    </row>
    <row r="40" spans="1:8" x14ac:dyDescent="0.25">
      <c r="A40" s="504" t="s">
        <v>292</v>
      </c>
      <c r="B40" s="505"/>
      <c r="C40" s="192">
        <v>1</v>
      </c>
      <c r="D40" s="193">
        <v>1</v>
      </c>
      <c r="E40" s="203">
        <v>150</v>
      </c>
      <c r="F40" s="203">
        <f t="shared" si="6"/>
        <v>165.09157499999998</v>
      </c>
      <c r="G40" s="194">
        <f t="shared" si="8"/>
        <v>165.09</v>
      </c>
      <c r="H40" s="202">
        <f t="shared" si="7"/>
        <v>2.75</v>
      </c>
    </row>
    <row r="41" spans="1:8" x14ac:dyDescent="0.25">
      <c r="A41" s="506" t="s">
        <v>157</v>
      </c>
      <c r="B41" s="507"/>
      <c r="C41" s="507"/>
      <c r="D41" s="507"/>
      <c r="E41" s="507"/>
      <c r="F41" s="507"/>
      <c r="G41" s="507"/>
      <c r="H41" s="199">
        <f>ROUND(SUM(H33:H40),2)</f>
        <v>19.46</v>
      </c>
    </row>
    <row r="42" spans="1:8" ht="14" thickBot="1" x14ac:dyDescent="0.3">
      <c r="A42" s="508" t="s">
        <v>298</v>
      </c>
      <c r="B42" s="509"/>
      <c r="C42" s="509"/>
      <c r="D42" s="509"/>
      <c r="E42" s="509"/>
      <c r="F42" s="509"/>
      <c r="G42" s="509"/>
      <c r="H42" s="510"/>
    </row>
  </sheetData>
  <mergeCells count="41">
    <mergeCell ref="A1:H1"/>
    <mergeCell ref="A2:B2"/>
    <mergeCell ref="A3:B3"/>
    <mergeCell ref="A4:B4"/>
    <mergeCell ref="A5:B5"/>
    <mergeCell ref="A6:B6"/>
    <mergeCell ref="A20:B20"/>
    <mergeCell ref="A12:G12"/>
    <mergeCell ref="A13:H13"/>
    <mergeCell ref="A15:H15"/>
    <mergeCell ref="A7:B7"/>
    <mergeCell ref="A8:B8"/>
    <mergeCell ref="A9:B9"/>
    <mergeCell ref="A10:B10"/>
    <mergeCell ref="A11:B11"/>
    <mergeCell ref="A16:B16"/>
    <mergeCell ref="A17:B17"/>
    <mergeCell ref="A18:B18"/>
    <mergeCell ref="A19:B19"/>
    <mergeCell ref="A21:B21"/>
    <mergeCell ref="A31:H31"/>
    <mergeCell ref="A32:B32"/>
    <mergeCell ref="A33:B33"/>
    <mergeCell ref="A27:B27"/>
    <mergeCell ref="A28:B28"/>
    <mergeCell ref="A29:G29"/>
    <mergeCell ref="A30:H30"/>
    <mergeCell ref="A22:B22"/>
    <mergeCell ref="A23:B23"/>
    <mergeCell ref="A26:B26"/>
    <mergeCell ref="A24:B24"/>
    <mergeCell ref="A25:B25"/>
    <mergeCell ref="A39:B39"/>
    <mergeCell ref="A40:B40"/>
    <mergeCell ref="A41:G41"/>
    <mergeCell ref="A42:H42"/>
    <mergeCell ref="A34:B34"/>
    <mergeCell ref="A35:B35"/>
    <mergeCell ref="A36:B36"/>
    <mergeCell ref="A37:B37"/>
    <mergeCell ref="A38:B38"/>
  </mergeCells>
  <printOptions horizontalCentered="1" verticalCentered="1"/>
  <pageMargins left="0.39370078740157483" right="0.39370078740157483" top="0.98425196850393704" bottom="0.39370078740157483" header="0.31496062992125984" footer="0.31496062992125984"/>
  <pageSetup paperSize="9" scale="60" orientation="portrait" r:id="rId1"/>
  <headerFooter>
    <oddHeader>&amp;R&amp;G</oddHeader>
    <oddFooter>&amp;CLINCE SEGURANÇA PATRIMONIAL LTDA. Av. São Paulo, 1049, São Geraldo, Porto Alegre/RS&amp;R&amp;P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>
    <tabColor theme="3"/>
  </sheetPr>
  <dimension ref="A1:P134"/>
  <sheetViews>
    <sheetView view="pageBreakPreview" topLeftCell="A97" zoomScaleNormal="100" zoomScaleSheetLayoutView="100" workbookViewId="0">
      <selection activeCell="J108" sqref="J108"/>
    </sheetView>
  </sheetViews>
  <sheetFormatPr defaultColWidth="9.1796875" defaultRowHeight="12.5" x14ac:dyDescent="0.25"/>
  <cols>
    <col min="1" max="1" width="7.1796875" style="9" customWidth="1"/>
    <col min="2" max="2" width="24.1796875" style="9" customWidth="1"/>
    <col min="3" max="3" width="34.81640625" style="9" customWidth="1"/>
    <col min="4" max="4" width="13.26953125" style="9" customWidth="1"/>
    <col min="5" max="6" width="19" style="9" hidden="1" customWidth="1"/>
    <col min="7" max="7" width="22.1796875" style="10" hidden="1" customWidth="1"/>
    <col min="8" max="8" width="22.1796875" style="322" hidden="1" customWidth="1"/>
    <col min="9" max="10" width="22.1796875" style="10" customWidth="1"/>
    <col min="11" max="11" width="21.453125" style="9" customWidth="1"/>
    <col min="12" max="12" width="33.453125" style="9" bestFit="1" customWidth="1"/>
    <col min="13" max="13" width="15.7265625" style="137" customWidth="1"/>
    <col min="14" max="14" width="17" style="9" customWidth="1"/>
    <col min="15" max="16384" width="9.1796875" style="9"/>
  </cols>
  <sheetData>
    <row r="1" spans="1:16" ht="13" x14ac:dyDescent="0.25">
      <c r="A1" s="493" t="s">
        <v>241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6" ht="13" x14ac:dyDescent="0.25">
      <c r="A2" s="134"/>
      <c r="B2" s="134"/>
      <c r="C2" s="134"/>
      <c r="D2" s="134"/>
      <c r="E2" s="228"/>
      <c r="F2" s="243"/>
      <c r="G2" s="305"/>
      <c r="H2" s="305"/>
      <c r="I2" s="318"/>
      <c r="J2" s="134"/>
      <c r="N2" s="123"/>
    </row>
    <row r="3" spans="1:16" ht="13" x14ac:dyDescent="0.25">
      <c r="A3" s="495" t="s">
        <v>242</v>
      </c>
      <c r="B3" s="496"/>
      <c r="C3" s="497"/>
      <c r="D3" s="498" t="s">
        <v>239</v>
      </c>
      <c r="E3" s="498"/>
      <c r="F3" s="498"/>
      <c r="G3" s="498"/>
      <c r="H3" s="498"/>
      <c r="I3" s="498"/>
      <c r="J3" s="498"/>
      <c r="L3" s="494"/>
      <c r="M3" s="494"/>
      <c r="N3" s="124"/>
    </row>
    <row r="4" spans="1:16" ht="13" x14ac:dyDescent="0.25">
      <c r="A4" s="495" t="s">
        <v>243</v>
      </c>
      <c r="B4" s="496"/>
      <c r="C4" s="497"/>
      <c r="D4" s="499" t="s">
        <v>240</v>
      </c>
      <c r="E4" s="499"/>
      <c r="F4" s="499"/>
      <c r="G4" s="499"/>
      <c r="H4" s="499"/>
      <c r="I4" s="499"/>
      <c r="J4" s="499"/>
      <c r="L4" s="185"/>
      <c r="M4" s="186"/>
    </row>
    <row r="5" spans="1:16" ht="13" x14ac:dyDescent="0.25">
      <c r="A5" s="495" t="s">
        <v>245</v>
      </c>
      <c r="B5" s="496"/>
      <c r="C5" s="496"/>
      <c r="D5" s="496"/>
      <c r="E5" s="496"/>
      <c r="F5" s="496"/>
      <c r="G5" s="496"/>
      <c r="H5" s="496"/>
      <c r="I5" s="496"/>
      <c r="J5" s="497"/>
      <c r="L5" s="185"/>
      <c r="M5" s="186"/>
      <c r="N5" s="124"/>
    </row>
    <row r="6" spans="1:16" ht="13" x14ac:dyDescent="0.25">
      <c r="A6" s="495" t="s">
        <v>244</v>
      </c>
      <c r="B6" s="496"/>
      <c r="C6" s="496"/>
      <c r="D6" s="496"/>
      <c r="E6" s="496"/>
      <c r="F6" s="496"/>
      <c r="G6" s="496"/>
      <c r="H6" s="496"/>
      <c r="I6" s="496"/>
      <c r="J6" s="497"/>
      <c r="L6" s="185"/>
      <c r="M6" s="211"/>
    </row>
    <row r="7" spans="1:16" x14ac:dyDescent="0.25">
      <c r="A7" s="500"/>
      <c r="B7" s="500"/>
      <c r="C7" s="500"/>
      <c r="D7" s="500"/>
      <c r="E7" s="500"/>
      <c r="F7" s="500"/>
      <c r="G7" s="500"/>
      <c r="H7" s="500"/>
      <c r="I7" s="500"/>
      <c r="J7" s="500"/>
      <c r="L7" s="185"/>
      <c r="M7" s="186"/>
      <c r="N7" s="10"/>
      <c r="P7" s="113"/>
    </row>
    <row r="8" spans="1:16" ht="12.75" customHeight="1" thickBot="1" x14ac:dyDescent="0.3">
      <c r="A8" s="486" t="s">
        <v>55</v>
      </c>
      <c r="B8" s="486"/>
      <c r="C8" s="486"/>
      <c r="D8" s="486"/>
      <c r="E8" s="486"/>
      <c r="F8" s="486"/>
      <c r="G8" s="486"/>
      <c r="H8" s="486"/>
      <c r="I8" s="486"/>
      <c r="J8" s="486"/>
      <c r="K8" s="11"/>
      <c r="L8" s="4"/>
      <c r="M8" s="62"/>
      <c r="N8" s="112"/>
      <c r="P8" s="113"/>
    </row>
    <row r="9" spans="1:16" ht="12.75" customHeight="1" thickTop="1" x14ac:dyDescent="0.25">
      <c r="A9" s="135" t="s">
        <v>0</v>
      </c>
      <c r="B9" s="481" t="s">
        <v>56</v>
      </c>
      <c r="C9" s="481"/>
      <c r="D9" s="481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ht="13" x14ac:dyDescent="0.25">
      <c r="A10" s="135" t="s">
        <v>1</v>
      </c>
      <c r="B10" s="481" t="s">
        <v>57</v>
      </c>
      <c r="C10" s="481"/>
      <c r="D10" s="481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3">
      <c r="A11" s="135" t="s">
        <v>2</v>
      </c>
      <c r="B11" s="481" t="s">
        <v>58</v>
      </c>
      <c r="C11" s="481"/>
      <c r="D11" s="481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3">
      <c r="A12" s="16" t="s">
        <v>3</v>
      </c>
      <c r="B12" s="481" t="s">
        <v>59</v>
      </c>
      <c r="C12" s="481"/>
      <c r="D12" s="481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5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5">
      <c r="A14" s="486" t="s">
        <v>21</v>
      </c>
      <c r="B14" s="486"/>
      <c r="C14" s="486"/>
      <c r="D14" s="486"/>
      <c r="E14" s="486"/>
      <c r="F14" s="486"/>
      <c r="G14" s="486"/>
      <c r="H14" s="486"/>
      <c r="I14" s="486"/>
      <c r="J14" s="486"/>
      <c r="K14" s="11"/>
      <c r="L14" s="5" t="s">
        <v>32</v>
      </c>
      <c r="M14" s="66">
        <v>4.8</v>
      </c>
    </row>
    <row r="15" spans="1:16" s="20" customFormat="1" ht="36.75" customHeight="1" x14ac:dyDescent="0.25">
      <c r="A15" s="485" t="s">
        <v>22</v>
      </c>
      <c r="B15" s="485"/>
      <c r="C15" s="135" t="s">
        <v>23</v>
      </c>
      <c r="D15" s="485" t="s">
        <v>61</v>
      </c>
      <c r="E15" s="485"/>
      <c r="F15" s="485"/>
      <c r="G15" s="485"/>
      <c r="H15" s="485"/>
      <c r="I15" s="485"/>
      <c r="J15" s="485"/>
      <c r="K15" s="11"/>
      <c r="L15" s="5" t="s">
        <v>33</v>
      </c>
      <c r="M15" s="64">
        <v>0.06</v>
      </c>
    </row>
    <row r="16" spans="1:16" x14ac:dyDescent="0.25">
      <c r="A16" s="492" t="s">
        <v>145</v>
      </c>
      <c r="B16" s="492"/>
      <c r="C16" s="136" t="s">
        <v>211</v>
      </c>
      <c r="D16" s="492">
        <v>1</v>
      </c>
      <c r="E16" s="492"/>
      <c r="F16" s="492"/>
      <c r="G16" s="492"/>
      <c r="H16" s="492"/>
      <c r="I16" s="492"/>
      <c r="J16" s="492"/>
      <c r="K16" s="14"/>
      <c r="L16" s="5" t="s">
        <v>34</v>
      </c>
      <c r="M16" s="72">
        <v>25</v>
      </c>
    </row>
    <row r="17" spans="1:13" ht="13.5" thickBot="1" x14ac:dyDescent="0.3">
      <c r="L17" s="7" t="s">
        <v>35</v>
      </c>
      <c r="M17" s="67">
        <f>ROUND((M13*M14*M16)-(M15*J32),2)</f>
        <v>134.13999999999999</v>
      </c>
    </row>
    <row r="18" spans="1:13" ht="29.25" customHeight="1" thickTop="1" thickBot="1" x14ac:dyDescent="0.3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331</v>
      </c>
      <c r="J18" s="342" t="s">
        <v>337</v>
      </c>
      <c r="L18" s="1"/>
      <c r="M18" s="8"/>
    </row>
    <row r="19" spans="1:13" ht="13.5" thickTop="1" x14ac:dyDescent="0.25">
      <c r="A19" s="22">
        <v>1</v>
      </c>
      <c r="B19" s="491" t="s">
        <v>7</v>
      </c>
      <c r="C19" s="491"/>
      <c r="D19" s="491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ht="13" x14ac:dyDescent="0.25">
      <c r="A20" s="24">
        <v>2</v>
      </c>
      <c r="B20" s="481" t="s">
        <v>63</v>
      </c>
      <c r="C20" s="481"/>
      <c r="D20" s="481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25</v>
      </c>
    </row>
    <row r="21" spans="1:13" ht="13" x14ac:dyDescent="0.25">
      <c r="A21" s="22">
        <v>3</v>
      </c>
      <c r="B21" s="481" t="s">
        <v>64</v>
      </c>
      <c r="C21" s="481"/>
      <c r="D21" s="481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598.25</v>
      </c>
    </row>
    <row r="22" spans="1:13" ht="13" x14ac:dyDescent="0.25">
      <c r="A22" s="24">
        <v>4</v>
      </c>
      <c r="B22" s="481" t="s">
        <v>8</v>
      </c>
      <c r="C22" s="481"/>
      <c r="D22" s="481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119.65</v>
      </c>
    </row>
    <row r="23" spans="1:13" ht="13.5" thickBot="1" x14ac:dyDescent="0.3">
      <c r="A23" s="22">
        <v>5</v>
      </c>
      <c r="B23" s="481" t="s">
        <v>9</v>
      </c>
      <c r="C23" s="481"/>
      <c r="D23" s="481"/>
      <c r="E23" s="28">
        <v>43132</v>
      </c>
      <c r="F23" s="28">
        <v>43497</v>
      </c>
      <c r="G23" s="28">
        <v>43497</v>
      </c>
      <c r="H23" s="325">
        <v>43497</v>
      </c>
      <c r="I23" s="28">
        <v>43497</v>
      </c>
      <c r="J23" s="28">
        <v>43497</v>
      </c>
      <c r="L23" s="7" t="s">
        <v>35</v>
      </c>
      <c r="M23" s="67">
        <f>M21-M22</f>
        <v>478.6</v>
      </c>
    </row>
    <row r="24" spans="1:13" ht="13.5" thickTop="1" x14ac:dyDescent="0.25">
      <c r="A24" s="24">
        <v>6</v>
      </c>
      <c r="B24" s="491" t="s">
        <v>248</v>
      </c>
      <c r="C24" s="491"/>
      <c r="D24" s="491"/>
      <c r="E24" s="187">
        <v>6.58</v>
      </c>
      <c r="F24" s="187">
        <v>6.82</v>
      </c>
      <c r="G24" s="187">
        <v>6.82</v>
      </c>
      <c r="H24" s="187">
        <v>7.23</v>
      </c>
      <c r="I24" s="187">
        <f>ROUND(I21/220,2)</f>
        <v>7.23</v>
      </c>
      <c r="J24" s="187">
        <f>ROUND(J21/220,2)</f>
        <v>8.02</v>
      </c>
      <c r="L24" s="1"/>
      <c r="M24" s="8"/>
    </row>
    <row r="25" spans="1:13" ht="13" x14ac:dyDescent="0.25">
      <c r="A25" s="22">
        <v>7</v>
      </c>
      <c r="B25" s="481" t="s">
        <v>249</v>
      </c>
      <c r="C25" s="481"/>
      <c r="D25" s="481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ht="13" x14ac:dyDescent="0.25">
      <c r="A26" s="24">
        <v>8</v>
      </c>
      <c r="B26" s="481" t="s">
        <v>250</v>
      </c>
      <c r="C26" s="481"/>
      <c r="D26" s="481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ht="13" x14ac:dyDescent="0.25">
      <c r="A27" s="22">
        <v>9</v>
      </c>
      <c r="B27" s="481" t="s">
        <v>251</v>
      </c>
      <c r="C27" s="481"/>
      <c r="D27" s="481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ht="13" x14ac:dyDescent="0.25">
      <c r="A28" s="24">
        <v>10</v>
      </c>
      <c r="B28" s="481" t="s">
        <v>252</v>
      </c>
      <c r="C28" s="481"/>
      <c r="D28" s="481"/>
      <c r="E28" s="188">
        <v>1</v>
      </c>
      <c r="F28" s="188">
        <v>1</v>
      </c>
      <c r="G28" s="188">
        <v>1</v>
      </c>
      <c r="H28" s="327">
        <v>1</v>
      </c>
      <c r="I28" s="188">
        <f>D16</f>
        <v>1</v>
      </c>
      <c r="J28" s="188">
        <f>D16</f>
        <v>1</v>
      </c>
      <c r="L28" s="185"/>
      <c r="M28" s="207"/>
    </row>
    <row r="29" spans="1:13" x14ac:dyDescent="0.25">
      <c r="G29" s="169"/>
      <c r="H29" s="328"/>
      <c r="I29" s="169"/>
      <c r="J29" s="169"/>
      <c r="K29" s="233"/>
      <c r="L29" s="185"/>
      <c r="M29" s="207"/>
    </row>
    <row r="30" spans="1:13" ht="13" x14ac:dyDescent="0.25">
      <c r="A30" s="478" t="s">
        <v>65</v>
      </c>
      <c r="B30" s="479"/>
      <c r="C30" s="479"/>
      <c r="D30" s="479"/>
      <c r="E30" s="479"/>
      <c r="F30" s="479"/>
      <c r="G30" s="479"/>
      <c r="H30" s="479"/>
      <c r="I30" s="479"/>
      <c r="J30" s="480"/>
      <c r="L30" s="185"/>
      <c r="M30" s="207"/>
    </row>
    <row r="31" spans="1:13" ht="13" x14ac:dyDescent="0.25">
      <c r="A31" s="29">
        <v>1</v>
      </c>
      <c r="B31" s="478" t="s">
        <v>66</v>
      </c>
      <c r="C31" s="480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ht="13" x14ac:dyDescent="0.25">
      <c r="A32" s="32" t="s">
        <v>0</v>
      </c>
      <c r="B32" s="471" t="s">
        <v>24</v>
      </c>
      <c r="C32" s="472"/>
      <c r="D32" s="33"/>
      <c r="E32" s="34">
        <v>1447.6</v>
      </c>
      <c r="F32" s="329">
        <v>1500.4</v>
      </c>
      <c r="G32" s="329">
        <v>1500.4</v>
      </c>
      <c r="H32" s="329">
        <v>1590.6</v>
      </c>
      <c r="I32" s="329">
        <v>1590.6</v>
      </c>
      <c r="J32" s="344">
        <f>J21</f>
        <v>1764.4</v>
      </c>
      <c r="L32" s="185"/>
      <c r="M32" s="212"/>
    </row>
    <row r="33" spans="1:13" ht="28.5" customHeight="1" x14ac:dyDescent="0.25">
      <c r="A33" s="32" t="s">
        <v>1</v>
      </c>
      <c r="B33" s="471" t="s">
        <v>304</v>
      </c>
      <c r="C33" s="472"/>
      <c r="D33" s="120">
        <v>0.3</v>
      </c>
      <c r="E33" s="34">
        <v>434.28</v>
      </c>
      <c r="F33" s="34">
        <v>450.12</v>
      </c>
      <c r="G33" s="34">
        <v>450.12</v>
      </c>
      <c r="H33" s="329">
        <v>477.18</v>
      </c>
      <c r="I33" s="34">
        <v>477.18</v>
      </c>
      <c r="J33" s="34">
        <f>ROUND(D33*J32,2)</f>
        <v>529.32000000000005</v>
      </c>
      <c r="L33" s="185"/>
    </row>
    <row r="34" spans="1:13" ht="44.25" customHeight="1" x14ac:dyDescent="0.25">
      <c r="A34" s="32" t="s">
        <v>2</v>
      </c>
      <c r="B34" s="471" t="s">
        <v>305</v>
      </c>
      <c r="C34" s="472"/>
      <c r="D34" s="33"/>
      <c r="E34" s="34">
        <v>27.42</v>
      </c>
      <c r="F34" s="34">
        <v>28.42</v>
      </c>
      <c r="G34" s="34">
        <v>28.42</v>
      </c>
      <c r="H34" s="329">
        <v>30.13</v>
      </c>
      <c r="I34" s="34">
        <v>30.13</v>
      </c>
      <c r="J34" s="34">
        <f>ROUND((J32/220)/6*25,2)</f>
        <v>33.42</v>
      </c>
      <c r="L34" s="170"/>
    </row>
    <row r="35" spans="1:13" ht="42" customHeight="1" x14ac:dyDescent="0.25">
      <c r="A35" s="32" t="s">
        <v>3</v>
      </c>
      <c r="B35" s="471" t="s">
        <v>306</v>
      </c>
      <c r="C35" s="472"/>
      <c r="D35" s="33"/>
      <c r="E35" s="34">
        <v>0</v>
      </c>
      <c r="F35" s="34">
        <v>0</v>
      </c>
      <c r="G35" s="34">
        <v>0</v>
      </c>
      <c r="H35" s="329">
        <v>0</v>
      </c>
      <c r="I35" s="34">
        <v>0</v>
      </c>
      <c r="J35" s="34">
        <v>0</v>
      </c>
      <c r="L35" s="170"/>
      <c r="M35" s="170"/>
    </row>
    <row r="36" spans="1:13" ht="56.25" customHeight="1" x14ac:dyDescent="0.25">
      <c r="A36" s="32" t="s">
        <v>4</v>
      </c>
      <c r="B36" s="471" t="s">
        <v>307</v>
      </c>
      <c r="C36" s="472"/>
      <c r="D36" s="33"/>
      <c r="E36" s="34">
        <v>0</v>
      </c>
      <c r="F36" s="34">
        <v>0</v>
      </c>
      <c r="G36" s="34">
        <v>0</v>
      </c>
      <c r="H36" s="329">
        <v>0</v>
      </c>
      <c r="I36" s="34">
        <v>0</v>
      </c>
      <c r="J36" s="34">
        <v>0</v>
      </c>
    </row>
    <row r="37" spans="1:13" ht="13" x14ac:dyDescent="0.25">
      <c r="A37" s="32" t="s">
        <v>5</v>
      </c>
      <c r="B37" s="471" t="s">
        <v>50</v>
      </c>
      <c r="C37" s="472"/>
      <c r="D37" s="33"/>
      <c r="E37" s="34">
        <v>4.57</v>
      </c>
      <c r="F37" s="34">
        <v>4.74</v>
      </c>
      <c r="G37" s="34">
        <v>4.74</v>
      </c>
      <c r="H37" s="329">
        <v>5.0199999999999996</v>
      </c>
      <c r="I37" s="34">
        <v>5.0199999999999996</v>
      </c>
      <c r="J37" s="34">
        <f>ROUND((J34+J35+J36)*16.67%,2)</f>
        <v>5.57</v>
      </c>
      <c r="K37" s="170">
        <f>ROUND((J34)*16.67%,2)</f>
        <v>5.57</v>
      </c>
      <c r="M37" s="9"/>
    </row>
    <row r="38" spans="1:13" ht="13" x14ac:dyDescent="0.25">
      <c r="A38" s="32" t="s">
        <v>6</v>
      </c>
      <c r="B38" s="471" t="s">
        <v>220</v>
      </c>
      <c r="C38" s="472"/>
      <c r="D38" s="33"/>
      <c r="E38" s="34">
        <v>144.76</v>
      </c>
      <c r="F38" s="34">
        <v>150.04000000000002</v>
      </c>
      <c r="G38" s="34">
        <v>150.04000000000002</v>
      </c>
      <c r="H38" s="329">
        <v>159.06</v>
      </c>
      <c r="I38" s="34">
        <v>159.06</v>
      </c>
      <c r="J38" s="34">
        <f>J32*0.1</f>
        <v>176.44000000000003</v>
      </c>
      <c r="M38" s="9"/>
    </row>
    <row r="39" spans="1:13" ht="13" x14ac:dyDescent="0.25">
      <c r="A39" s="475" t="s">
        <v>157</v>
      </c>
      <c r="B39" s="476"/>
      <c r="C39" s="476"/>
      <c r="D39" s="477"/>
      <c r="E39" s="35">
        <v>2058.63</v>
      </c>
      <c r="F39" s="31">
        <v>2133.7199999999998</v>
      </c>
      <c r="G39" s="35">
        <v>2133.7199999999998</v>
      </c>
      <c r="H39" s="35">
        <v>2261.9899999999998</v>
      </c>
      <c r="I39" s="35">
        <f>ROUND(SUM(I32:I38),2)</f>
        <v>2261.9899999999998</v>
      </c>
      <c r="J39" s="35">
        <f>ROUND(SUM(J32:J38),2)</f>
        <v>2509.15</v>
      </c>
      <c r="K39" s="35">
        <f>ROUND(SUM(J32:J38),2)-J34-K37</f>
        <v>2470.16</v>
      </c>
      <c r="M39" s="9"/>
    </row>
    <row r="40" spans="1:13" x14ac:dyDescent="0.25">
      <c r="M40" s="9"/>
    </row>
    <row r="41" spans="1:13" ht="13" x14ac:dyDescent="0.25">
      <c r="A41" s="478" t="s">
        <v>68</v>
      </c>
      <c r="B41" s="479"/>
      <c r="C41" s="479"/>
      <c r="D41" s="479"/>
      <c r="E41" s="479"/>
      <c r="F41" s="479"/>
      <c r="G41" s="479"/>
      <c r="H41" s="479"/>
      <c r="I41" s="479"/>
      <c r="J41" s="480"/>
      <c r="M41" s="9"/>
    </row>
    <row r="42" spans="1:13" ht="13" x14ac:dyDescent="0.25">
      <c r="A42" s="478" t="s">
        <v>69</v>
      </c>
      <c r="B42" s="479"/>
      <c r="C42" s="480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3" ht="13" x14ac:dyDescent="0.25">
      <c r="A43" s="32" t="s">
        <v>0</v>
      </c>
      <c r="B43" s="471" t="s">
        <v>70</v>
      </c>
      <c r="C43" s="472"/>
      <c r="D43" s="36">
        <f>'Encargos Sociais'!C5</f>
        <v>8.3299999999999999E-2</v>
      </c>
      <c r="E43" s="34">
        <v>168.82</v>
      </c>
      <c r="F43" s="34">
        <v>174.98</v>
      </c>
      <c r="G43" s="34">
        <v>174.98</v>
      </c>
      <c r="H43" s="329">
        <v>185.5</v>
      </c>
      <c r="I43" s="34">
        <v>185.5</v>
      </c>
      <c r="J43" s="34">
        <f>ROUND(D43*$K$39,2)</f>
        <v>205.76</v>
      </c>
    </row>
    <row r="44" spans="1:13" ht="13" x14ac:dyDescent="0.25">
      <c r="A44" s="32" t="s">
        <v>1</v>
      </c>
      <c r="B44" s="471" t="s">
        <v>49</v>
      </c>
      <c r="C44" s="472"/>
      <c r="D44" s="36">
        <f>'Encargos Sociais'!C11</f>
        <v>0.121</v>
      </c>
      <c r="E44" s="34">
        <v>245.22</v>
      </c>
      <c r="F44" s="34">
        <v>254.17</v>
      </c>
      <c r="G44" s="34">
        <v>254.17</v>
      </c>
      <c r="H44" s="329">
        <v>269.45</v>
      </c>
      <c r="I44" s="34">
        <v>269.45</v>
      </c>
      <c r="J44" s="34">
        <f>ROUND(D44*$K$39,2)</f>
        <v>298.89</v>
      </c>
      <c r="M44" s="9"/>
    </row>
    <row r="45" spans="1:13" ht="12.75" customHeight="1" x14ac:dyDescent="0.25">
      <c r="A45" s="475" t="s">
        <v>156</v>
      </c>
      <c r="B45" s="476"/>
      <c r="C45" s="477"/>
      <c r="D45" s="37">
        <f>SUM(D43:D44)</f>
        <v>0.20429999999999998</v>
      </c>
      <c r="E45" s="35">
        <v>414.04</v>
      </c>
      <c r="F45" s="35">
        <v>429.15</v>
      </c>
      <c r="G45" s="35">
        <v>429.15</v>
      </c>
      <c r="H45" s="35">
        <v>454.95</v>
      </c>
      <c r="I45" s="35">
        <f>ROUND(SUM(I43:I44),2)</f>
        <v>454.95</v>
      </c>
      <c r="J45" s="35">
        <f>ROUND(SUM(J43:J44),2)</f>
        <v>504.65</v>
      </c>
      <c r="M45" s="9"/>
    </row>
    <row r="46" spans="1:13" x14ac:dyDescent="0.25">
      <c r="M46" s="9"/>
    </row>
    <row r="47" spans="1:13" ht="12.75" customHeight="1" x14ac:dyDescent="0.25">
      <c r="A47" s="478" t="s">
        <v>71</v>
      </c>
      <c r="B47" s="479"/>
      <c r="C47" s="480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3" ht="13" x14ac:dyDescent="0.25">
      <c r="A48" s="32" t="s">
        <v>0</v>
      </c>
      <c r="B48" s="489" t="s">
        <v>16</v>
      </c>
      <c r="C48" s="490"/>
      <c r="D48" s="36">
        <f>'Encargos Sociais'!C16</f>
        <v>0.2</v>
      </c>
      <c r="E48" s="34">
        <v>405.33</v>
      </c>
      <c r="F48" s="34">
        <v>420.11</v>
      </c>
      <c r="G48" s="34">
        <v>420.11</v>
      </c>
      <c r="H48" s="329">
        <v>445.37</v>
      </c>
      <c r="I48" s="34">
        <v>445.37</v>
      </c>
      <c r="J48" s="34">
        <f t="shared" ref="J48:J55" si="0">ROUND(D48*($K$39),2)</f>
        <v>494.03</v>
      </c>
      <c r="L48" s="169"/>
      <c r="M48" s="9"/>
    </row>
    <row r="49" spans="1:13" ht="13" x14ac:dyDescent="0.25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50.67</v>
      </c>
      <c r="F49" s="34">
        <v>52.51</v>
      </c>
      <c r="G49" s="34">
        <v>52.51</v>
      </c>
      <c r="H49" s="329">
        <v>55.67</v>
      </c>
      <c r="I49" s="34">
        <v>55.67</v>
      </c>
      <c r="J49" s="34">
        <f t="shared" si="0"/>
        <v>61.75</v>
      </c>
      <c r="L49" s="169"/>
    </row>
    <row r="50" spans="1:13" ht="13" x14ac:dyDescent="0.25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82.69</v>
      </c>
      <c r="F50" s="34">
        <v>85.7</v>
      </c>
      <c r="G50" s="34">
        <v>85.7</v>
      </c>
      <c r="H50" s="329">
        <v>90.86</v>
      </c>
      <c r="I50" s="34">
        <v>90.86</v>
      </c>
      <c r="J50" s="34">
        <f t="shared" si="0"/>
        <v>100.78</v>
      </c>
      <c r="L50" s="169"/>
    </row>
    <row r="51" spans="1:13" ht="13" x14ac:dyDescent="0.25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30.4</v>
      </c>
      <c r="F51" s="34">
        <v>31.51</v>
      </c>
      <c r="G51" s="34">
        <v>31.51</v>
      </c>
      <c r="H51" s="329">
        <v>33.4</v>
      </c>
      <c r="I51" s="34">
        <v>33.4</v>
      </c>
      <c r="J51" s="34">
        <f t="shared" si="0"/>
        <v>37.049999999999997</v>
      </c>
      <c r="L51" s="169"/>
    </row>
    <row r="52" spans="1:13" ht="13" x14ac:dyDescent="0.25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20.27</v>
      </c>
      <c r="F52" s="34">
        <v>21.01</v>
      </c>
      <c r="G52" s="34">
        <v>21.01</v>
      </c>
      <c r="H52" s="329">
        <v>22.27</v>
      </c>
      <c r="I52" s="34">
        <v>22.27</v>
      </c>
      <c r="J52" s="34">
        <f t="shared" si="0"/>
        <v>24.7</v>
      </c>
      <c r="L52" s="169"/>
    </row>
    <row r="53" spans="1:13" ht="13" x14ac:dyDescent="0.25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12.16</v>
      </c>
      <c r="F53" s="34">
        <v>12.6</v>
      </c>
      <c r="G53" s="34">
        <v>12.6</v>
      </c>
      <c r="H53" s="329">
        <v>13.36</v>
      </c>
      <c r="I53" s="34">
        <v>13.36</v>
      </c>
      <c r="J53" s="34">
        <f t="shared" si="0"/>
        <v>14.82</v>
      </c>
      <c r="L53" s="169"/>
    </row>
    <row r="54" spans="1:13" ht="13" x14ac:dyDescent="0.25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4.05</v>
      </c>
      <c r="F54" s="34">
        <v>4.2</v>
      </c>
      <c r="G54" s="34">
        <v>4.2</v>
      </c>
      <c r="H54" s="329">
        <v>4.45</v>
      </c>
      <c r="I54" s="34">
        <v>4.45</v>
      </c>
      <c r="J54" s="34">
        <f t="shared" si="0"/>
        <v>4.9400000000000004</v>
      </c>
      <c r="L54" s="169"/>
    </row>
    <row r="55" spans="1:13" ht="13" x14ac:dyDescent="0.25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162.13</v>
      </c>
      <c r="F55" s="34">
        <v>168.04</v>
      </c>
      <c r="G55" s="34">
        <v>168.04</v>
      </c>
      <c r="H55" s="329">
        <v>178.15</v>
      </c>
      <c r="I55" s="34">
        <v>178.15</v>
      </c>
      <c r="J55" s="34">
        <f t="shared" si="0"/>
        <v>197.61</v>
      </c>
      <c r="L55" s="169"/>
    </row>
    <row r="56" spans="1:13" ht="12.75" customHeight="1" x14ac:dyDescent="0.25">
      <c r="A56" s="475" t="s">
        <v>156</v>
      </c>
      <c r="B56" s="476"/>
      <c r="C56" s="477"/>
      <c r="D56" s="37">
        <f>SUM(D48:D55)</f>
        <v>0.37880000000000008</v>
      </c>
      <c r="E56" s="35">
        <v>767.7</v>
      </c>
      <c r="F56" s="35">
        <v>795.68</v>
      </c>
      <c r="G56" s="35">
        <v>795.68</v>
      </c>
      <c r="H56" s="35">
        <v>843.53</v>
      </c>
      <c r="I56" s="35">
        <f>ROUND(SUM(I48:I55),2)</f>
        <v>843.53</v>
      </c>
      <c r="J56" s="35">
        <f>ROUND(SUM(J48:J55),2)</f>
        <v>935.68</v>
      </c>
      <c r="K56" s="210"/>
      <c r="L56" s="209"/>
    </row>
    <row r="58" spans="1:13" ht="12.75" customHeight="1" x14ac:dyDescent="0.25">
      <c r="A58" s="478" t="s">
        <v>75</v>
      </c>
      <c r="B58" s="479"/>
      <c r="C58" s="480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  <c r="K58" s="169"/>
    </row>
    <row r="59" spans="1:13" ht="73.5" customHeight="1" x14ac:dyDescent="0.25">
      <c r="A59" s="32" t="s">
        <v>0</v>
      </c>
      <c r="B59" s="471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25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72"/>
      <c r="D59" s="38" t="s">
        <v>76</v>
      </c>
      <c r="E59" s="34">
        <v>128.13999999999999</v>
      </c>
      <c r="F59" s="34">
        <v>124.98</v>
      </c>
      <c r="G59" s="34">
        <v>144.97999999999999</v>
      </c>
      <c r="H59" s="329">
        <v>139.56</v>
      </c>
      <c r="I59" s="34">
        <v>144.56</v>
      </c>
      <c r="J59" s="34">
        <f>IF(M17&lt;=0,0,IF(M17&gt;0,M17))</f>
        <v>134.13999999999999</v>
      </c>
      <c r="K59" s="39"/>
      <c r="L59" s="40"/>
    </row>
    <row r="60" spans="1:13" ht="54" customHeight="1" x14ac:dyDescent="0.25">
      <c r="A60" s="32" t="s">
        <v>1</v>
      </c>
      <c r="B60" s="471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25 Dias Trabalhados) - (20% do desconto legal) ]</v>
      </c>
      <c r="C60" s="472"/>
      <c r="D60" s="38" t="s">
        <v>76</v>
      </c>
      <c r="E60" s="34">
        <v>384.6</v>
      </c>
      <c r="F60" s="329">
        <v>400</v>
      </c>
      <c r="G60" s="329">
        <v>400</v>
      </c>
      <c r="H60" s="329">
        <v>430</v>
      </c>
      <c r="I60" s="329">
        <v>430</v>
      </c>
      <c r="J60" s="344">
        <f>M23</f>
        <v>478.6</v>
      </c>
      <c r="K60" s="39"/>
      <c r="L60" s="40"/>
      <c r="M60" s="41"/>
    </row>
    <row r="61" spans="1:13" ht="13" x14ac:dyDescent="0.25">
      <c r="A61" s="32" t="s">
        <v>2</v>
      </c>
      <c r="B61" s="471" t="s">
        <v>314</v>
      </c>
      <c r="C61" s="472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5">
      <c r="A62" s="475" t="s">
        <v>156</v>
      </c>
      <c r="B62" s="476"/>
      <c r="C62" s="477"/>
      <c r="D62" s="42"/>
      <c r="E62" s="35">
        <v>515.24</v>
      </c>
      <c r="F62" s="35">
        <v>527.48</v>
      </c>
      <c r="G62" s="35">
        <v>547.48</v>
      </c>
      <c r="H62" s="35">
        <v>572.05999999999995</v>
      </c>
      <c r="I62" s="35">
        <f>ROUND(SUM(I59:I61),2)</f>
        <v>577.05999999999995</v>
      </c>
      <c r="J62" s="35">
        <f>ROUND(SUM(J59:J61),2)</f>
        <v>615.24</v>
      </c>
    </row>
    <row r="64" spans="1:13" ht="12.75" customHeight="1" x14ac:dyDescent="0.25">
      <c r="A64" s="486" t="s">
        <v>77</v>
      </c>
      <c r="B64" s="486"/>
      <c r="C64" s="486"/>
      <c r="D64" s="486"/>
      <c r="E64" s="486"/>
      <c r="F64" s="486"/>
      <c r="G64" s="486"/>
      <c r="H64" s="486"/>
      <c r="I64" s="486"/>
      <c r="J64" s="486"/>
    </row>
    <row r="65" spans="1:10" ht="12.75" customHeight="1" x14ac:dyDescent="0.25">
      <c r="A65" s="486" t="s">
        <v>78</v>
      </c>
      <c r="B65" s="486"/>
      <c r="C65" s="486"/>
      <c r="D65" s="486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ht="13" x14ac:dyDescent="0.25">
      <c r="A66" s="135" t="s">
        <v>79</v>
      </c>
      <c r="B66" s="481" t="s">
        <v>80</v>
      </c>
      <c r="C66" s="481"/>
      <c r="D66" s="481"/>
      <c r="E66" s="230">
        <v>414.04</v>
      </c>
      <c r="F66" s="25">
        <v>429.15</v>
      </c>
      <c r="G66" s="25">
        <v>429.15</v>
      </c>
      <c r="H66" s="323">
        <v>454.95</v>
      </c>
      <c r="I66" s="25">
        <v>454.95</v>
      </c>
      <c r="J66" s="25">
        <f>J45</f>
        <v>504.65</v>
      </c>
    </row>
    <row r="67" spans="1:10" ht="13" x14ac:dyDescent="0.25">
      <c r="A67" s="135" t="s">
        <v>81</v>
      </c>
      <c r="B67" s="481" t="s">
        <v>82</v>
      </c>
      <c r="C67" s="481"/>
      <c r="D67" s="481"/>
      <c r="E67" s="230">
        <v>767.7</v>
      </c>
      <c r="F67" s="25">
        <v>795.68</v>
      </c>
      <c r="G67" s="25">
        <v>795.68</v>
      </c>
      <c r="H67" s="323">
        <v>843.53</v>
      </c>
      <c r="I67" s="25">
        <v>843.53</v>
      </c>
      <c r="J67" s="25">
        <f>J56</f>
        <v>935.68</v>
      </c>
    </row>
    <row r="68" spans="1:10" ht="13" x14ac:dyDescent="0.25">
      <c r="A68" s="135" t="s">
        <v>83</v>
      </c>
      <c r="B68" s="481" t="s">
        <v>25</v>
      </c>
      <c r="C68" s="481"/>
      <c r="D68" s="481"/>
      <c r="E68" s="230">
        <v>515.24</v>
      </c>
      <c r="F68" s="25">
        <v>527.48</v>
      </c>
      <c r="G68" s="25">
        <v>547.48</v>
      </c>
      <c r="H68" s="323">
        <v>572.05999999999995</v>
      </c>
      <c r="I68" s="25">
        <v>577.05999999999995</v>
      </c>
      <c r="J68" s="25">
        <f>J62</f>
        <v>615.24</v>
      </c>
    </row>
    <row r="69" spans="1:10" ht="12.75" customHeight="1" x14ac:dyDescent="0.25">
      <c r="A69" s="474" t="s">
        <v>156</v>
      </c>
      <c r="B69" s="474"/>
      <c r="C69" s="474"/>
      <c r="D69" s="474"/>
      <c r="E69" s="241">
        <v>1696.98</v>
      </c>
      <c r="F69" s="128">
        <v>1752.31</v>
      </c>
      <c r="G69" s="35">
        <v>1772.31</v>
      </c>
      <c r="H69" s="35">
        <v>1870.54</v>
      </c>
      <c r="I69" s="35">
        <f>ROUND(SUM(I66:I68),2)</f>
        <v>1875.54</v>
      </c>
      <c r="J69" s="35">
        <f>ROUND(SUM(J66:J68),2)</f>
        <v>2055.5700000000002</v>
      </c>
    </row>
    <row r="71" spans="1:10" ht="13" x14ac:dyDescent="0.25">
      <c r="A71" s="478" t="s">
        <v>84</v>
      </c>
      <c r="B71" s="479"/>
      <c r="C71" s="479"/>
      <c r="D71" s="479"/>
      <c r="E71" s="479"/>
      <c r="F71" s="479"/>
      <c r="G71" s="479"/>
      <c r="H71" s="479"/>
      <c r="I71" s="479"/>
      <c r="J71" s="480"/>
    </row>
    <row r="72" spans="1:10" ht="13" x14ac:dyDescent="0.25">
      <c r="A72" s="29">
        <v>3</v>
      </c>
      <c r="B72" s="478" t="s">
        <v>85</v>
      </c>
      <c r="C72" s="480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ht="13" x14ac:dyDescent="0.25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8.51</v>
      </c>
      <c r="F73" s="34">
        <v>8.82</v>
      </c>
      <c r="G73" s="34">
        <v>8.82</v>
      </c>
      <c r="H73" s="329">
        <v>9.35</v>
      </c>
      <c r="I73" s="34">
        <v>9.35</v>
      </c>
      <c r="J73" s="34">
        <f t="shared" ref="J73:J78" si="1">ROUND(D73*$K$39,2)</f>
        <v>10.37</v>
      </c>
    </row>
    <row r="74" spans="1:10" ht="13" x14ac:dyDescent="0.25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0.61</v>
      </c>
      <c r="F74" s="34">
        <v>0.63</v>
      </c>
      <c r="G74" s="34">
        <v>0.63</v>
      </c>
      <c r="H74" s="329">
        <v>0.67</v>
      </c>
      <c r="I74" s="34">
        <v>0.67</v>
      </c>
      <c r="J74" s="34">
        <f t="shared" si="1"/>
        <v>0.74</v>
      </c>
    </row>
    <row r="75" spans="1:10" ht="13" x14ac:dyDescent="0.25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4.8600000000000003</v>
      </c>
      <c r="F75" s="34">
        <v>5.04</v>
      </c>
      <c r="G75" s="34">
        <v>4.03</v>
      </c>
      <c r="H75" s="329">
        <v>4.28</v>
      </c>
      <c r="I75" s="34">
        <v>4.28</v>
      </c>
      <c r="J75" s="34">
        <f t="shared" si="1"/>
        <v>4.74</v>
      </c>
    </row>
    <row r="76" spans="1:10" ht="13" x14ac:dyDescent="0.25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3.24</v>
      </c>
      <c r="F76" s="34">
        <v>3.36</v>
      </c>
      <c r="G76" s="34">
        <v>3.36</v>
      </c>
      <c r="H76" s="329">
        <v>3.56</v>
      </c>
      <c r="I76" s="34">
        <v>3.56</v>
      </c>
      <c r="J76" s="34">
        <f t="shared" si="1"/>
        <v>3.95</v>
      </c>
    </row>
    <row r="77" spans="1:10" ht="25.5" customHeight="1" x14ac:dyDescent="0.25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1.22</v>
      </c>
      <c r="F77" s="34">
        <v>1.26</v>
      </c>
      <c r="G77" s="34">
        <v>1.26</v>
      </c>
      <c r="H77" s="329">
        <v>1.34</v>
      </c>
      <c r="I77" s="34">
        <v>1.34</v>
      </c>
      <c r="J77" s="34">
        <f t="shared" si="1"/>
        <v>1.48</v>
      </c>
    </row>
    <row r="78" spans="1:10" ht="13" x14ac:dyDescent="0.25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96.47</v>
      </c>
      <c r="F78" s="34">
        <v>99.99</v>
      </c>
      <c r="G78" s="34">
        <v>79.989999999999995</v>
      </c>
      <c r="H78" s="329">
        <v>84.8</v>
      </c>
      <c r="I78" s="34">
        <v>84.8</v>
      </c>
      <c r="J78" s="34">
        <f t="shared" si="1"/>
        <v>94.06</v>
      </c>
    </row>
    <row r="79" spans="1:10" ht="12.75" customHeight="1" x14ac:dyDescent="0.25">
      <c r="A79" s="475" t="s">
        <v>156</v>
      </c>
      <c r="B79" s="476"/>
      <c r="C79" s="477"/>
      <c r="D79" s="37">
        <f>SUM(D73:D78)</f>
        <v>4.6699999999999992E-2</v>
      </c>
      <c r="E79" s="31">
        <v>114.91</v>
      </c>
      <c r="F79" s="35">
        <v>119.1</v>
      </c>
      <c r="G79" s="35">
        <v>98.09</v>
      </c>
      <c r="H79" s="35">
        <v>104</v>
      </c>
      <c r="I79" s="35">
        <f>ROUND(SUM(I73:I78),2)</f>
        <v>104</v>
      </c>
      <c r="J79" s="35">
        <f>ROUND(SUM(J73:J78),2)</f>
        <v>115.34</v>
      </c>
    </row>
    <row r="81" spans="1:10" ht="13" x14ac:dyDescent="0.25">
      <c r="A81" s="478" t="s">
        <v>92</v>
      </c>
      <c r="B81" s="479"/>
      <c r="C81" s="479"/>
      <c r="D81" s="479"/>
      <c r="E81" s="479"/>
      <c r="F81" s="479"/>
      <c r="G81" s="479"/>
      <c r="H81" s="479"/>
      <c r="I81" s="479"/>
      <c r="J81" s="480"/>
    </row>
    <row r="82" spans="1:10" ht="13" x14ac:dyDescent="0.25">
      <c r="A82" s="46"/>
      <c r="B82" s="478" t="s">
        <v>93</v>
      </c>
      <c r="C82" s="480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ht="13" x14ac:dyDescent="0.25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20.47</v>
      </c>
      <c r="F83" s="34">
        <v>21.22</v>
      </c>
      <c r="G83" s="34">
        <v>21.22</v>
      </c>
      <c r="H83" s="329">
        <v>22.49</v>
      </c>
      <c r="I83" s="34">
        <v>22.49</v>
      </c>
      <c r="J83" s="34">
        <f t="shared" ref="J83:J88" si="2">ROUND(D83*$K$39,2)</f>
        <v>24.95</v>
      </c>
    </row>
    <row r="84" spans="1:10" ht="13" x14ac:dyDescent="0.25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11.35</v>
      </c>
      <c r="F84" s="34">
        <v>11.76</v>
      </c>
      <c r="G84" s="34">
        <v>11.76</v>
      </c>
      <c r="H84" s="329">
        <v>12.47</v>
      </c>
      <c r="I84" s="34">
        <v>12.47</v>
      </c>
      <c r="J84" s="34">
        <f t="shared" si="2"/>
        <v>13.83</v>
      </c>
    </row>
    <row r="85" spans="1:10" ht="13" x14ac:dyDescent="0.25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28.17</v>
      </c>
      <c r="F85" s="34">
        <v>29.2</v>
      </c>
      <c r="G85" s="34">
        <v>29.2</v>
      </c>
      <c r="H85" s="329">
        <v>30.95</v>
      </c>
      <c r="I85" s="34">
        <v>30.95</v>
      </c>
      <c r="J85" s="34">
        <f t="shared" si="2"/>
        <v>34.340000000000003</v>
      </c>
    </row>
    <row r="86" spans="1:10" ht="13" x14ac:dyDescent="0.25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3.45</v>
      </c>
      <c r="F86" s="34">
        <v>3.57</v>
      </c>
      <c r="G86" s="34">
        <v>3.57</v>
      </c>
      <c r="H86" s="329">
        <v>3.79</v>
      </c>
      <c r="I86" s="34">
        <v>3.79</v>
      </c>
      <c r="J86" s="34">
        <f t="shared" si="2"/>
        <v>4.2</v>
      </c>
    </row>
    <row r="87" spans="1:10" ht="13" x14ac:dyDescent="0.25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4.26</v>
      </c>
      <c r="F87" s="34">
        <v>4.41</v>
      </c>
      <c r="G87" s="34">
        <v>4.41</v>
      </c>
      <c r="H87" s="329">
        <v>4.68</v>
      </c>
      <c r="I87" s="34">
        <v>4.68</v>
      </c>
      <c r="J87" s="34">
        <f t="shared" si="2"/>
        <v>5.19</v>
      </c>
    </row>
    <row r="88" spans="1:10" ht="13" x14ac:dyDescent="0.25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1.42</v>
      </c>
      <c r="F88" s="34">
        <v>1.47</v>
      </c>
      <c r="G88" s="34">
        <v>1.47</v>
      </c>
      <c r="H88" s="329">
        <v>1.56</v>
      </c>
      <c r="I88" s="34">
        <v>1.56</v>
      </c>
      <c r="J88" s="34">
        <f t="shared" si="2"/>
        <v>1.73</v>
      </c>
    </row>
    <row r="89" spans="1:10" ht="12.75" customHeight="1" x14ac:dyDescent="0.25">
      <c r="A89" s="475" t="s">
        <v>156</v>
      </c>
      <c r="B89" s="476"/>
      <c r="C89" s="477"/>
      <c r="D89" s="37">
        <f>SUM(D83:D88)</f>
        <v>3.4099999999999991E-2</v>
      </c>
      <c r="E89" s="35">
        <v>69.12</v>
      </c>
      <c r="F89" s="35">
        <v>71.63</v>
      </c>
      <c r="G89" s="35">
        <v>71.63</v>
      </c>
      <c r="H89" s="35">
        <v>75.94</v>
      </c>
      <c r="I89" s="35">
        <f>ROUND(SUM(I83:I88),2)</f>
        <v>75.94</v>
      </c>
      <c r="J89" s="35">
        <f>ROUND(SUM(J83:J88),2)</f>
        <v>84.24</v>
      </c>
    </row>
    <row r="90" spans="1:10" x14ac:dyDescent="0.25">
      <c r="E90" s="10"/>
      <c r="F90" s="10"/>
    </row>
    <row r="91" spans="1:10" ht="12.75" customHeight="1" x14ac:dyDescent="0.25">
      <c r="A91" s="478" t="s">
        <v>93</v>
      </c>
      <c r="B91" s="479"/>
      <c r="C91" s="479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5">
      <c r="A92" s="32" t="s">
        <v>6</v>
      </c>
      <c r="B92" s="471" t="s">
        <v>155</v>
      </c>
      <c r="C92" s="487"/>
      <c r="D92" s="129">
        <f>((D56)*(D45+D89))</f>
        <v>9.0305920000000012E-2</v>
      </c>
      <c r="E92" s="34">
        <v>183.02</v>
      </c>
      <c r="F92" s="34">
        <v>189.69</v>
      </c>
      <c r="G92" s="34">
        <v>189.69</v>
      </c>
      <c r="H92" s="329">
        <v>201.1</v>
      </c>
      <c r="I92" s="34">
        <v>201.1</v>
      </c>
      <c r="J92" s="34">
        <f>ROUND(D92*$K$39,2)</f>
        <v>223.07</v>
      </c>
    </row>
    <row r="93" spans="1:10" ht="12.75" customHeight="1" x14ac:dyDescent="0.25">
      <c r="A93" s="475" t="s">
        <v>156</v>
      </c>
      <c r="B93" s="476"/>
      <c r="C93" s="476"/>
      <c r="D93" s="130">
        <f>D92</f>
        <v>9.0305920000000012E-2</v>
      </c>
      <c r="E93" s="128">
        <v>183.02</v>
      </c>
      <c r="F93" s="128">
        <v>189.69</v>
      </c>
      <c r="G93" s="128">
        <v>189.69</v>
      </c>
      <c r="H93" s="128">
        <v>201.1</v>
      </c>
      <c r="I93" s="128">
        <f>ROUND(SUM(I92:I92),2)</f>
        <v>201.1</v>
      </c>
      <c r="J93" s="128">
        <f>ROUND(SUM(J92:J92),2)</f>
        <v>223.07</v>
      </c>
    </row>
    <row r="94" spans="1:10" x14ac:dyDescent="0.25">
      <c r="E94" s="10"/>
      <c r="F94" s="10"/>
    </row>
    <row r="95" spans="1:10" ht="12.75" customHeight="1" x14ac:dyDescent="0.25">
      <c r="A95" s="478" t="s">
        <v>142</v>
      </c>
      <c r="B95" s="479"/>
      <c r="C95" s="479"/>
      <c r="D95" s="480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ht="13" x14ac:dyDescent="0.25">
      <c r="A96" s="32" t="s">
        <v>0</v>
      </c>
      <c r="B96" s="471" t="s">
        <v>253</v>
      </c>
      <c r="C96" s="487"/>
      <c r="D96" s="472"/>
      <c r="E96" s="34">
        <v>0</v>
      </c>
      <c r="F96" s="34">
        <v>0</v>
      </c>
      <c r="G96" s="34">
        <v>0</v>
      </c>
      <c r="H96" s="329">
        <v>0</v>
      </c>
      <c r="I96" s="34">
        <v>0</v>
      </c>
      <c r="J96" s="34">
        <v>0</v>
      </c>
    </row>
    <row r="97" spans="1:16" ht="12.75" customHeight="1" x14ac:dyDescent="0.25">
      <c r="A97" s="475" t="s">
        <v>156</v>
      </c>
      <c r="B97" s="476"/>
      <c r="C97" s="476"/>
      <c r="D97" s="477"/>
      <c r="E97" s="35">
        <v>0</v>
      </c>
      <c r="F97" s="35">
        <v>0</v>
      </c>
      <c r="G97" s="35">
        <v>0</v>
      </c>
      <c r="H97" s="35">
        <v>0</v>
      </c>
      <c r="I97" s="35">
        <f>ROUND(SUM(I96:I96),2)</f>
        <v>0</v>
      </c>
      <c r="J97" s="35">
        <f>ROUND(SUM(J96:J96),2)</f>
        <v>0</v>
      </c>
    </row>
    <row r="98" spans="1:16" ht="33" customHeight="1" x14ac:dyDescent="0.25">
      <c r="A98" s="488" t="s">
        <v>143</v>
      </c>
      <c r="B98" s="488"/>
      <c r="C98" s="488"/>
      <c r="D98" s="488"/>
      <c r="E98" s="488"/>
      <c r="F98" s="488"/>
      <c r="G98" s="488"/>
      <c r="H98" s="488"/>
      <c r="I98" s="488"/>
      <c r="J98" s="488"/>
    </row>
    <row r="100" spans="1:16" ht="12.75" customHeight="1" x14ac:dyDescent="0.25">
      <c r="A100" s="486" t="s">
        <v>99</v>
      </c>
      <c r="B100" s="486"/>
      <c r="C100" s="486"/>
      <c r="D100" s="486"/>
      <c r="E100" s="486"/>
      <c r="F100" s="486"/>
      <c r="G100" s="486"/>
      <c r="H100" s="486"/>
      <c r="I100" s="486"/>
      <c r="J100" s="486"/>
    </row>
    <row r="101" spans="1:16" ht="12.75" customHeight="1" x14ac:dyDescent="0.25">
      <c r="A101" s="486" t="s">
        <v>100</v>
      </c>
      <c r="B101" s="486"/>
      <c r="C101" s="486"/>
      <c r="D101" s="486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ht="13" x14ac:dyDescent="0.25">
      <c r="A102" s="48" t="s">
        <v>26</v>
      </c>
      <c r="B102" s="481" t="s">
        <v>95</v>
      </c>
      <c r="C102" s="481"/>
      <c r="D102" s="481"/>
      <c r="E102" s="25">
        <v>252.14</v>
      </c>
      <c r="F102" s="25">
        <v>261.32</v>
      </c>
      <c r="G102" s="25">
        <v>261.32</v>
      </c>
      <c r="H102" s="323">
        <v>277.04000000000002</v>
      </c>
      <c r="I102" s="25">
        <v>277.04000000000002</v>
      </c>
      <c r="J102" s="25">
        <f>ROUND(J89+J93,2)</f>
        <v>307.31</v>
      </c>
    </row>
    <row r="103" spans="1:16" ht="13" x14ac:dyDescent="0.25">
      <c r="A103" s="48" t="s">
        <v>27</v>
      </c>
      <c r="B103" s="481" t="s">
        <v>101</v>
      </c>
      <c r="C103" s="481"/>
      <c r="D103" s="481"/>
      <c r="E103" s="25">
        <v>0</v>
      </c>
      <c r="F103" s="25">
        <v>0</v>
      </c>
      <c r="G103" s="25">
        <v>0</v>
      </c>
      <c r="H103" s="323">
        <v>0</v>
      </c>
      <c r="I103" s="25">
        <f>I97</f>
        <v>0</v>
      </c>
      <c r="J103" s="25">
        <f>J97</f>
        <v>0</v>
      </c>
    </row>
    <row r="104" spans="1:16" s="137" customFormat="1" ht="12.75" customHeight="1" x14ac:dyDescent="0.25">
      <c r="A104" s="474" t="s">
        <v>102</v>
      </c>
      <c r="B104" s="474"/>
      <c r="C104" s="474"/>
      <c r="D104" s="474"/>
      <c r="E104" s="35">
        <v>252.14</v>
      </c>
      <c r="F104" s="35">
        <v>261.32</v>
      </c>
      <c r="G104" s="35">
        <v>261.32</v>
      </c>
      <c r="H104" s="35">
        <v>277.04000000000002</v>
      </c>
      <c r="I104" s="35">
        <f>ROUND(SUM(I102:I103),2)</f>
        <v>277.04000000000002</v>
      </c>
      <c r="J104" s="35">
        <f>ROUND(SUM(J102:J103),2)</f>
        <v>307.31</v>
      </c>
      <c r="K104" s="9"/>
      <c r="L104" s="9"/>
      <c r="N104" s="9"/>
      <c r="O104" s="9"/>
      <c r="P104" s="9"/>
    </row>
    <row r="106" spans="1:16" s="137" customFormat="1" ht="13" x14ac:dyDescent="0.25">
      <c r="A106" s="478" t="s">
        <v>103</v>
      </c>
      <c r="B106" s="479"/>
      <c r="C106" s="479"/>
      <c r="D106" s="479"/>
      <c r="E106" s="479"/>
      <c r="F106" s="479"/>
      <c r="G106" s="479"/>
      <c r="H106" s="479"/>
      <c r="I106" s="479"/>
      <c r="J106" s="480"/>
      <c r="K106" s="9"/>
      <c r="L106" s="9"/>
      <c r="N106" s="9"/>
      <c r="O106" s="9"/>
      <c r="P106" s="9"/>
    </row>
    <row r="107" spans="1:16" s="137" customFormat="1" ht="13" x14ac:dyDescent="0.25">
      <c r="A107" s="29">
        <v>5</v>
      </c>
      <c r="B107" s="478" t="s">
        <v>104</v>
      </c>
      <c r="C107" s="480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ht="13" x14ac:dyDescent="0.25">
      <c r="A108" s="32" t="s">
        <v>0</v>
      </c>
      <c r="B108" s="471" t="s">
        <v>129</v>
      </c>
      <c r="C108" s="472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18.72</v>
      </c>
      <c r="K108" s="9"/>
      <c r="L108" s="9"/>
      <c r="N108" s="9"/>
      <c r="O108" s="9"/>
      <c r="P108" s="9"/>
    </row>
    <row r="109" spans="1:16" s="137" customFormat="1" ht="13" x14ac:dyDescent="0.25">
      <c r="A109" s="32" t="s">
        <v>1</v>
      </c>
      <c r="B109" s="471" t="s">
        <v>190</v>
      </c>
      <c r="C109" s="472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329">
        <v>17.690000000000001</v>
      </c>
      <c r="I109" s="34">
        <v>17.690000000000001</v>
      </c>
      <c r="J109" s="347">
        <f>'Uniformes e Equiptos'!H41</f>
        <v>19.46</v>
      </c>
      <c r="K109" s="49"/>
      <c r="L109" s="9"/>
      <c r="N109" s="9"/>
      <c r="O109" s="9"/>
      <c r="P109" s="9"/>
    </row>
    <row r="110" spans="1:16" s="137" customFormat="1" ht="13" x14ac:dyDescent="0.25">
      <c r="A110" s="32" t="s">
        <v>2</v>
      </c>
      <c r="B110" s="471" t="s">
        <v>187</v>
      </c>
      <c r="C110" s="472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5">
      <c r="A111" s="475" t="s">
        <v>156</v>
      </c>
      <c r="B111" s="476"/>
      <c r="C111" s="477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38.18</v>
      </c>
      <c r="K111" s="9"/>
      <c r="L111" s="9"/>
      <c r="N111" s="9"/>
      <c r="O111" s="9"/>
      <c r="P111" s="9"/>
    </row>
    <row r="113" spans="1:16" s="137" customFormat="1" ht="13" x14ac:dyDescent="0.25">
      <c r="A113" s="478" t="s">
        <v>105</v>
      </c>
      <c r="B113" s="479"/>
      <c r="C113" s="479"/>
      <c r="D113" s="479"/>
      <c r="E113" s="479"/>
      <c r="F113" s="479"/>
      <c r="G113" s="479"/>
      <c r="H113" s="479"/>
      <c r="I113" s="479"/>
      <c r="J113" s="480"/>
      <c r="K113" s="9"/>
      <c r="L113" s="9"/>
      <c r="N113" s="9"/>
      <c r="O113" s="9"/>
      <c r="P113" s="9"/>
    </row>
    <row r="114" spans="1:16" s="137" customFormat="1" ht="13" x14ac:dyDescent="0.25">
      <c r="A114" s="29">
        <v>6</v>
      </c>
      <c r="B114" s="478" t="s">
        <v>106</v>
      </c>
      <c r="C114" s="480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5">
      <c r="A115" s="32" t="s">
        <v>0</v>
      </c>
      <c r="B115" s="471" t="s">
        <v>301</v>
      </c>
      <c r="C115" s="472"/>
      <c r="D115" s="51">
        <v>0.03</v>
      </c>
      <c r="E115" s="34">
        <v>124.72</v>
      </c>
      <c r="F115" s="34">
        <v>129.03</v>
      </c>
      <c r="G115" s="34">
        <v>129</v>
      </c>
      <c r="H115" s="329">
        <v>136.44999999999999</v>
      </c>
      <c r="I115" s="34">
        <v>136.6</v>
      </c>
      <c r="J115" s="34">
        <f>ROUND(J130*D115,2)</f>
        <v>150.77000000000001</v>
      </c>
      <c r="K115" s="132"/>
      <c r="L115" s="138"/>
      <c r="M115" s="213"/>
      <c r="N115" s="170"/>
      <c r="O115" s="9"/>
      <c r="P115" s="9"/>
    </row>
    <row r="116" spans="1:16" s="137" customFormat="1" ht="13" x14ac:dyDescent="0.25">
      <c r="A116" s="32" t="s">
        <v>1</v>
      </c>
      <c r="B116" s="52" t="s">
        <v>12</v>
      </c>
      <c r="C116" s="53"/>
      <c r="D116" s="51">
        <v>2.1264755183842379E-2</v>
      </c>
      <c r="E116" s="34">
        <v>91.06</v>
      </c>
      <c r="F116" s="34">
        <v>94.21</v>
      </c>
      <c r="G116" s="34">
        <v>94.18</v>
      </c>
      <c r="H116" s="329">
        <v>99.62</v>
      </c>
      <c r="I116" s="34">
        <v>99.73</v>
      </c>
      <c r="J116" s="34">
        <f>ROUND((J130+J115)*D116,2)</f>
        <v>110.07</v>
      </c>
      <c r="K116" s="133"/>
      <c r="L116" s="139"/>
      <c r="M116" s="170"/>
      <c r="N116" s="170"/>
      <c r="O116" s="9"/>
      <c r="P116" s="9"/>
    </row>
    <row r="117" spans="1:16" s="137" customFormat="1" ht="13" x14ac:dyDescent="0.25">
      <c r="A117" s="32" t="s">
        <v>2</v>
      </c>
      <c r="B117" s="483" t="s">
        <v>302</v>
      </c>
      <c r="C117" s="484"/>
      <c r="D117" s="54"/>
      <c r="E117" s="55"/>
      <c r="F117" s="55"/>
      <c r="G117" s="55"/>
      <c r="H117" s="330"/>
      <c r="I117" s="55"/>
      <c r="J117" s="55"/>
      <c r="K117" s="9"/>
      <c r="L117" s="9"/>
      <c r="N117" s="9"/>
      <c r="O117" s="9"/>
      <c r="P117" s="9"/>
    </row>
    <row r="118" spans="1:16" s="137" customFormat="1" ht="13" x14ac:dyDescent="0.25">
      <c r="A118" s="32" t="s">
        <v>107</v>
      </c>
      <c r="B118" s="471" t="s">
        <v>13</v>
      </c>
      <c r="C118" s="472"/>
      <c r="D118" s="51">
        <v>6.4999999999999997E-3</v>
      </c>
      <c r="E118" s="34">
        <v>30.29</v>
      </c>
      <c r="F118" s="34">
        <v>31.34</v>
      </c>
      <c r="G118" s="34">
        <v>31.33</v>
      </c>
      <c r="H118" s="329">
        <v>33.14</v>
      </c>
      <c r="I118" s="34">
        <v>33.17</v>
      </c>
      <c r="J118" s="34">
        <f>ROUND((($J$130+$J$115+$J$116)/(1-($D$118+$D$119+$D$120)))*D118,2)</f>
        <v>36.61</v>
      </c>
      <c r="K118" s="469"/>
      <c r="L118" s="470"/>
      <c r="N118" s="9"/>
      <c r="O118" s="9"/>
      <c r="P118" s="9"/>
    </row>
    <row r="119" spans="1:16" s="137" customFormat="1" ht="13" x14ac:dyDescent="0.25">
      <c r="A119" s="32" t="s">
        <v>108</v>
      </c>
      <c r="B119" s="471" t="s">
        <v>14</v>
      </c>
      <c r="C119" s="472"/>
      <c r="D119" s="51">
        <v>0.03</v>
      </c>
      <c r="E119" s="34">
        <v>139.79</v>
      </c>
      <c r="F119" s="34">
        <v>144.63</v>
      </c>
      <c r="G119" s="34">
        <v>144.59</v>
      </c>
      <c r="H119" s="329">
        <v>152.94</v>
      </c>
      <c r="I119" s="34">
        <v>153.1</v>
      </c>
      <c r="J119" s="34">
        <f>ROUND((($J$130+$J$115+$J$116)/(1-($D$118+$D$119+$D$120)))*D119,2)</f>
        <v>168.98</v>
      </c>
      <c r="K119" s="469"/>
      <c r="L119" s="470"/>
      <c r="N119" s="9"/>
      <c r="O119" s="9"/>
      <c r="P119" s="9"/>
    </row>
    <row r="120" spans="1:16" ht="13" x14ac:dyDescent="0.25">
      <c r="A120" s="32" t="s">
        <v>109</v>
      </c>
      <c r="B120" s="471" t="s">
        <v>30</v>
      </c>
      <c r="C120" s="472"/>
      <c r="D120" s="51">
        <f>M9</f>
        <v>2.5000000000000001E-2</v>
      </c>
      <c r="E120" s="34">
        <v>116.49</v>
      </c>
      <c r="F120" s="34">
        <v>120.52</v>
      </c>
      <c r="G120" s="34">
        <v>120.49</v>
      </c>
      <c r="H120" s="329">
        <v>127.45</v>
      </c>
      <c r="I120" s="34">
        <v>127.59</v>
      </c>
      <c r="J120" s="34">
        <f>ROUND((($J$130+$J$115+$J$116)/(1-($D$118+$D$119+$D$120)))*D120,2)</f>
        <v>140.82</v>
      </c>
    </row>
    <row r="121" spans="1:16" ht="12.75" customHeight="1" x14ac:dyDescent="0.25">
      <c r="A121" s="475" t="s">
        <v>157</v>
      </c>
      <c r="B121" s="476"/>
      <c r="C121" s="477"/>
      <c r="D121" s="47">
        <f>SUM(D115:D120)</f>
        <v>0.11276475518384238</v>
      </c>
      <c r="E121" s="31">
        <v>502.35</v>
      </c>
      <c r="F121" s="31">
        <v>519.73</v>
      </c>
      <c r="G121" s="31">
        <v>519.59</v>
      </c>
      <c r="H121" s="31">
        <v>549.6</v>
      </c>
      <c r="I121" s="31">
        <f>SUM(I115:I120)</f>
        <v>550.19000000000005</v>
      </c>
      <c r="J121" s="31">
        <f>SUM(J115:J120)</f>
        <v>607.25</v>
      </c>
    </row>
    <row r="123" spans="1:16" ht="12.75" customHeight="1" x14ac:dyDescent="0.25">
      <c r="A123" s="486" t="s">
        <v>110</v>
      </c>
      <c r="B123" s="486"/>
      <c r="C123" s="486"/>
      <c r="D123" s="486"/>
      <c r="E123" s="486"/>
      <c r="F123" s="486"/>
      <c r="G123" s="486"/>
      <c r="H123" s="486"/>
      <c r="I123" s="486"/>
      <c r="J123" s="486"/>
    </row>
    <row r="124" spans="1:16" ht="12.75" customHeight="1" x14ac:dyDescent="0.25">
      <c r="A124" s="486" t="s">
        <v>111</v>
      </c>
      <c r="B124" s="486"/>
      <c r="C124" s="486"/>
      <c r="D124" s="486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5">
      <c r="A125" s="136" t="s">
        <v>0</v>
      </c>
      <c r="B125" s="481" t="s">
        <v>65</v>
      </c>
      <c r="C125" s="481"/>
      <c r="D125" s="481"/>
      <c r="E125" s="25">
        <v>2058.63</v>
      </c>
      <c r="F125" s="25">
        <v>2133.7199999999998</v>
      </c>
      <c r="G125" s="25">
        <v>2133.7199999999998</v>
      </c>
      <c r="H125" s="323">
        <v>2261.9899999999998</v>
      </c>
      <c r="I125" s="25">
        <v>2261.9899999999998</v>
      </c>
      <c r="J125" s="25">
        <f>J39</f>
        <v>2509.15</v>
      </c>
    </row>
    <row r="126" spans="1:16" x14ac:dyDescent="0.25">
      <c r="A126" s="136" t="s">
        <v>1</v>
      </c>
      <c r="B126" s="481" t="s">
        <v>68</v>
      </c>
      <c r="C126" s="481"/>
      <c r="D126" s="481"/>
      <c r="E126" s="25">
        <v>1696.98</v>
      </c>
      <c r="F126" s="25">
        <v>1752.31</v>
      </c>
      <c r="G126" s="25">
        <v>1772.31</v>
      </c>
      <c r="H126" s="323">
        <v>1870.54</v>
      </c>
      <c r="I126" s="25">
        <v>1875.54</v>
      </c>
      <c r="J126" s="25">
        <f>J69</f>
        <v>2055.5700000000002</v>
      </c>
    </row>
    <row r="127" spans="1:16" x14ac:dyDescent="0.25">
      <c r="A127" s="136" t="s">
        <v>2</v>
      </c>
      <c r="B127" s="481" t="s">
        <v>84</v>
      </c>
      <c r="C127" s="481"/>
      <c r="D127" s="481"/>
      <c r="E127" s="25">
        <v>114.91</v>
      </c>
      <c r="F127" s="25">
        <v>119.1</v>
      </c>
      <c r="G127" s="25">
        <v>98.09</v>
      </c>
      <c r="H127" s="323">
        <v>104</v>
      </c>
      <c r="I127" s="25">
        <v>104</v>
      </c>
      <c r="J127" s="25">
        <f>J79</f>
        <v>115.34</v>
      </c>
    </row>
    <row r="128" spans="1:16" x14ac:dyDescent="0.25">
      <c r="A128" s="56" t="s">
        <v>3</v>
      </c>
      <c r="B128" s="481" t="s">
        <v>92</v>
      </c>
      <c r="C128" s="481"/>
      <c r="D128" s="481"/>
      <c r="E128" s="25">
        <v>252.14</v>
      </c>
      <c r="F128" s="25">
        <v>261.32</v>
      </c>
      <c r="G128" s="25">
        <v>261.32</v>
      </c>
      <c r="H128" s="323">
        <v>277.04000000000002</v>
      </c>
      <c r="I128" s="25">
        <v>277.04000000000002</v>
      </c>
      <c r="J128" s="25">
        <f>J104</f>
        <v>307.31</v>
      </c>
      <c r="L128" s="218"/>
    </row>
    <row r="129" spans="1:12" x14ac:dyDescent="0.25">
      <c r="A129" s="57" t="s">
        <v>4</v>
      </c>
      <c r="B129" s="481" t="s">
        <v>103</v>
      </c>
      <c r="C129" s="481"/>
      <c r="D129" s="481"/>
      <c r="E129" s="58">
        <v>34.69</v>
      </c>
      <c r="F129" s="58">
        <v>34.69</v>
      </c>
      <c r="G129" s="58">
        <v>34.69</v>
      </c>
      <c r="H129" s="331">
        <v>34.69</v>
      </c>
      <c r="I129" s="58">
        <v>34.69</v>
      </c>
      <c r="J129" s="58">
        <f>J111</f>
        <v>38.18</v>
      </c>
      <c r="L129" s="218"/>
    </row>
    <row r="130" spans="1:12" ht="13" x14ac:dyDescent="0.25">
      <c r="A130" s="59"/>
      <c r="B130" s="482" t="s">
        <v>112</v>
      </c>
      <c r="C130" s="482"/>
      <c r="D130" s="482"/>
      <c r="E130" s="60">
        <v>4157.3499999999995</v>
      </c>
      <c r="F130" s="60">
        <v>4301.1399999999994</v>
      </c>
      <c r="G130" s="60">
        <v>4300.1299999999992</v>
      </c>
      <c r="H130" s="60">
        <v>4548.2599999999993</v>
      </c>
      <c r="I130" s="60">
        <v>4553.2599999999993</v>
      </c>
      <c r="J130" s="60">
        <f>SUM(J125:J129)</f>
        <v>5025.5500000000011</v>
      </c>
    </row>
    <row r="131" spans="1:12" x14ac:dyDescent="0.25">
      <c r="A131" s="136" t="s">
        <v>5</v>
      </c>
      <c r="B131" s="481" t="s">
        <v>105</v>
      </c>
      <c r="C131" s="481"/>
      <c r="D131" s="481"/>
      <c r="E131" s="25">
        <v>502.35</v>
      </c>
      <c r="F131" s="25">
        <v>519.73</v>
      </c>
      <c r="G131" s="25">
        <v>519.59</v>
      </c>
      <c r="H131" s="323">
        <v>549.6</v>
      </c>
      <c r="I131" s="25">
        <v>550.19000000000005</v>
      </c>
      <c r="J131" s="25">
        <f>J121</f>
        <v>607.25</v>
      </c>
    </row>
    <row r="132" spans="1:12" ht="13" x14ac:dyDescent="0.25">
      <c r="A132" s="474" t="s">
        <v>113</v>
      </c>
      <c r="B132" s="474"/>
      <c r="C132" s="474"/>
      <c r="D132" s="474"/>
      <c r="E132" s="119">
        <v>4659.7</v>
      </c>
      <c r="F132" s="119">
        <v>4820.87</v>
      </c>
      <c r="G132" s="119">
        <v>4819.72</v>
      </c>
      <c r="H132" s="119">
        <v>5097.8599999999997</v>
      </c>
      <c r="I132" s="119">
        <v>5103.45</v>
      </c>
      <c r="J132" s="119">
        <f>ROUND(SUM(J130:J131),2)</f>
        <v>5632.8</v>
      </c>
    </row>
    <row r="133" spans="1:12" ht="13" x14ac:dyDescent="0.25">
      <c r="A133" s="485" t="s">
        <v>140</v>
      </c>
      <c r="B133" s="485"/>
      <c r="C133" s="485"/>
      <c r="D133" s="485"/>
      <c r="E133" s="118">
        <v>1</v>
      </c>
      <c r="F133" s="118">
        <v>1</v>
      </c>
      <c r="G133" s="118">
        <v>1</v>
      </c>
      <c r="H133" s="118">
        <v>1</v>
      </c>
      <c r="I133" s="118">
        <v>1</v>
      </c>
      <c r="J133" s="118">
        <f>D16</f>
        <v>1</v>
      </c>
    </row>
    <row r="134" spans="1:12" ht="13" x14ac:dyDescent="0.25">
      <c r="A134" s="473" t="s">
        <v>141</v>
      </c>
      <c r="B134" s="473"/>
      <c r="C134" s="473"/>
      <c r="D134" s="473"/>
      <c r="E134" s="235">
        <v>4659.7</v>
      </c>
      <c r="F134" s="235">
        <v>4820.87</v>
      </c>
      <c r="G134" s="111">
        <v>4819.72</v>
      </c>
      <c r="H134" s="111">
        <v>5097.8599999999997</v>
      </c>
      <c r="I134" s="111">
        <f>ROUND(I132*I133,2)</f>
        <v>5103.45</v>
      </c>
      <c r="J134" s="111">
        <f>ROUND(J132*J133,2)</f>
        <v>5632.8</v>
      </c>
    </row>
  </sheetData>
  <mergeCells count="123">
    <mergeCell ref="A1:J1"/>
    <mergeCell ref="L3:M3"/>
    <mergeCell ref="A3:C3"/>
    <mergeCell ref="D3:J3"/>
    <mergeCell ref="A4:C4"/>
    <mergeCell ref="D4:J4"/>
    <mergeCell ref="A8:J8"/>
    <mergeCell ref="B9:D9"/>
    <mergeCell ref="B10:D10"/>
    <mergeCell ref="A7:J7"/>
    <mergeCell ref="A5:J5"/>
    <mergeCell ref="A6:J6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32:C32"/>
    <mergeCell ref="B33:C33"/>
    <mergeCell ref="B34:C34"/>
    <mergeCell ref="B35:C35"/>
    <mergeCell ref="B36:C36"/>
    <mergeCell ref="B37:C37"/>
    <mergeCell ref="A39:D39"/>
    <mergeCell ref="A41:J41"/>
    <mergeCell ref="A42:C42"/>
    <mergeCell ref="B38:C38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A95:D95"/>
    <mergeCell ref="B96:D96"/>
    <mergeCell ref="A97:D97"/>
    <mergeCell ref="A98:J98"/>
    <mergeCell ref="A100:J100"/>
    <mergeCell ref="A101:D101"/>
    <mergeCell ref="B115:C115"/>
    <mergeCell ref="B102:D102"/>
    <mergeCell ref="B103:D103"/>
    <mergeCell ref="A104:D104"/>
    <mergeCell ref="A106:J106"/>
    <mergeCell ref="B107:C107"/>
    <mergeCell ref="B108:C108"/>
    <mergeCell ref="K118:L118"/>
    <mergeCell ref="B119:C119"/>
    <mergeCell ref="K119:L119"/>
    <mergeCell ref="A134:D134"/>
    <mergeCell ref="A132:D132"/>
    <mergeCell ref="B109:C109"/>
    <mergeCell ref="B110:C110"/>
    <mergeCell ref="A111:C111"/>
    <mergeCell ref="A113:J113"/>
    <mergeCell ref="B114:C114"/>
    <mergeCell ref="B127:D127"/>
    <mergeCell ref="B128:D128"/>
    <mergeCell ref="B129:D129"/>
    <mergeCell ref="B130:D130"/>
    <mergeCell ref="B131:D131"/>
    <mergeCell ref="B120:C120"/>
    <mergeCell ref="A121:C121"/>
    <mergeCell ref="B117:C117"/>
    <mergeCell ref="B118:C118"/>
    <mergeCell ref="A133:D133"/>
    <mergeCell ref="A123:J123"/>
    <mergeCell ref="A124:D124"/>
    <mergeCell ref="B125:D125"/>
    <mergeCell ref="B126:D12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tabColor theme="3"/>
  </sheetPr>
  <dimension ref="A1:P134"/>
  <sheetViews>
    <sheetView view="pageBreakPreview" topLeftCell="A100" zoomScaleNormal="100" zoomScaleSheetLayoutView="100" workbookViewId="0">
      <selection activeCell="J108" sqref="J108"/>
    </sheetView>
  </sheetViews>
  <sheetFormatPr defaultColWidth="9.1796875" defaultRowHeight="12.5" x14ac:dyDescent="0.25"/>
  <cols>
    <col min="1" max="1" width="7.1796875" style="9" customWidth="1"/>
    <col min="2" max="2" width="24.1796875" style="9" customWidth="1"/>
    <col min="3" max="3" width="34.81640625" style="9" customWidth="1"/>
    <col min="4" max="4" width="13.26953125" style="9" customWidth="1"/>
    <col min="5" max="6" width="19" style="9" hidden="1" customWidth="1"/>
    <col min="7" max="7" width="22.1796875" style="10" hidden="1" customWidth="1"/>
    <col min="8" max="8" width="22.1796875" style="322" hidden="1" customWidth="1"/>
    <col min="9" max="10" width="22.1796875" style="10" customWidth="1"/>
    <col min="11" max="11" width="21.453125" style="9" customWidth="1"/>
    <col min="12" max="12" width="33.453125" style="9" bestFit="1" customWidth="1"/>
    <col min="13" max="13" width="15.7265625" style="65" customWidth="1"/>
    <col min="14" max="14" width="17" style="9" customWidth="1"/>
    <col min="15" max="16384" width="9.1796875" style="9"/>
  </cols>
  <sheetData>
    <row r="1" spans="1:16" ht="13" x14ac:dyDescent="0.25">
      <c r="A1" s="493" t="s">
        <v>241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6" ht="13" x14ac:dyDescent="0.25">
      <c r="A2" s="115"/>
      <c r="B2" s="115"/>
      <c r="C2" s="115"/>
      <c r="D2" s="115"/>
      <c r="E2" s="228"/>
      <c r="F2" s="243"/>
      <c r="G2" s="305"/>
      <c r="H2" s="305"/>
      <c r="I2" s="318"/>
      <c r="J2" s="115"/>
      <c r="N2" s="123"/>
    </row>
    <row r="3" spans="1:16" ht="13" x14ac:dyDescent="0.25">
      <c r="A3" s="495" t="s">
        <v>242</v>
      </c>
      <c r="B3" s="496"/>
      <c r="C3" s="497"/>
      <c r="D3" s="498" t="s">
        <v>239</v>
      </c>
      <c r="E3" s="498"/>
      <c r="F3" s="498"/>
      <c r="G3" s="498"/>
      <c r="H3" s="498"/>
      <c r="I3" s="498"/>
      <c r="J3" s="498"/>
      <c r="L3" s="494"/>
      <c r="M3" s="494"/>
      <c r="N3" s="124"/>
    </row>
    <row r="4" spans="1:16" ht="13" x14ac:dyDescent="0.25">
      <c r="A4" s="495" t="s">
        <v>243</v>
      </c>
      <c r="B4" s="496"/>
      <c r="C4" s="497"/>
      <c r="D4" s="499" t="s">
        <v>240</v>
      </c>
      <c r="E4" s="499"/>
      <c r="F4" s="499"/>
      <c r="G4" s="499"/>
      <c r="H4" s="499"/>
      <c r="I4" s="499"/>
      <c r="J4" s="499"/>
      <c r="L4" s="185"/>
      <c r="M4" s="186"/>
    </row>
    <row r="5" spans="1:16" ht="13" x14ac:dyDescent="0.25">
      <c r="A5" s="495" t="s">
        <v>245</v>
      </c>
      <c r="B5" s="496"/>
      <c r="C5" s="496"/>
      <c r="D5" s="496"/>
      <c r="E5" s="496"/>
      <c r="F5" s="496"/>
      <c r="G5" s="496"/>
      <c r="H5" s="496"/>
      <c r="I5" s="496"/>
      <c r="J5" s="497"/>
      <c r="L5" s="185"/>
      <c r="M5" s="186"/>
      <c r="N5" s="124"/>
    </row>
    <row r="6" spans="1:16" ht="13" x14ac:dyDescent="0.25">
      <c r="A6" s="495" t="s">
        <v>244</v>
      </c>
      <c r="B6" s="496"/>
      <c r="C6" s="496"/>
      <c r="D6" s="496"/>
      <c r="E6" s="496"/>
      <c r="F6" s="496"/>
      <c r="G6" s="496"/>
      <c r="H6" s="496"/>
      <c r="I6" s="496"/>
      <c r="J6" s="497"/>
      <c r="L6" s="185"/>
      <c r="M6" s="211"/>
    </row>
    <row r="7" spans="1:16" x14ac:dyDescent="0.25">
      <c r="A7" s="500"/>
      <c r="B7" s="500"/>
      <c r="C7" s="500"/>
      <c r="D7" s="500"/>
      <c r="E7" s="500"/>
      <c r="F7" s="500"/>
      <c r="G7" s="500"/>
      <c r="H7" s="500"/>
      <c r="I7" s="500"/>
      <c r="J7" s="500"/>
      <c r="L7" s="185"/>
      <c r="M7" s="186"/>
      <c r="N7" s="10"/>
      <c r="P7" s="113"/>
    </row>
    <row r="8" spans="1:16" ht="12.75" customHeight="1" thickBot="1" x14ac:dyDescent="0.3">
      <c r="A8" s="486" t="s">
        <v>55</v>
      </c>
      <c r="B8" s="486"/>
      <c r="C8" s="486"/>
      <c r="D8" s="486"/>
      <c r="E8" s="486"/>
      <c r="F8" s="486"/>
      <c r="G8" s="486"/>
      <c r="H8" s="486"/>
      <c r="I8" s="486"/>
      <c r="J8" s="486"/>
      <c r="K8" s="11"/>
      <c r="L8" s="4"/>
      <c r="M8" s="62"/>
      <c r="N8" s="112"/>
      <c r="P8" s="113"/>
    </row>
    <row r="9" spans="1:16" ht="12.75" customHeight="1" thickTop="1" x14ac:dyDescent="0.25">
      <c r="A9" s="12" t="s">
        <v>0</v>
      </c>
      <c r="B9" s="481" t="s">
        <v>56</v>
      </c>
      <c r="C9" s="481"/>
      <c r="D9" s="481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ht="13" x14ac:dyDescent="0.25">
      <c r="A10" s="12" t="s">
        <v>1</v>
      </c>
      <c r="B10" s="481" t="s">
        <v>57</v>
      </c>
      <c r="C10" s="481"/>
      <c r="D10" s="481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3">
      <c r="A11" s="12" t="s">
        <v>2</v>
      </c>
      <c r="B11" s="481" t="s">
        <v>58</v>
      </c>
      <c r="C11" s="481"/>
      <c r="D11" s="481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3">
      <c r="A12" s="16" t="s">
        <v>3</v>
      </c>
      <c r="B12" s="481" t="s">
        <v>59</v>
      </c>
      <c r="C12" s="481"/>
      <c r="D12" s="481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5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5">
      <c r="A14" s="486" t="s">
        <v>21</v>
      </c>
      <c r="B14" s="486"/>
      <c r="C14" s="486"/>
      <c r="D14" s="486"/>
      <c r="E14" s="486"/>
      <c r="F14" s="486"/>
      <c r="G14" s="486"/>
      <c r="H14" s="486"/>
      <c r="I14" s="486"/>
      <c r="J14" s="486"/>
      <c r="K14" s="11"/>
      <c r="L14" s="5" t="s">
        <v>32</v>
      </c>
      <c r="M14" s="66">
        <v>4.8</v>
      </c>
    </row>
    <row r="15" spans="1:16" s="20" customFormat="1" ht="36.75" customHeight="1" x14ac:dyDescent="0.25">
      <c r="A15" s="485" t="s">
        <v>22</v>
      </c>
      <c r="B15" s="485"/>
      <c r="C15" s="12" t="s">
        <v>23</v>
      </c>
      <c r="D15" s="485" t="s">
        <v>61</v>
      </c>
      <c r="E15" s="485"/>
      <c r="F15" s="485"/>
      <c r="G15" s="485"/>
      <c r="H15" s="485"/>
      <c r="I15" s="485"/>
      <c r="J15" s="485"/>
      <c r="K15" s="11"/>
      <c r="L15" s="5" t="s">
        <v>33</v>
      </c>
      <c r="M15" s="64">
        <v>0.06</v>
      </c>
    </row>
    <row r="16" spans="1:16" ht="37.5" x14ac:dyDescent="0.25">
      <c r="A16" s="492" t="s">
        <v>145</v>
      </c>
      <c r="B16" s="492"/>
      <c r="C16" s="21" t="s">
        <v>189</v>
      </c>
      <c r="D16" s="492">
        <v>2</v>
      </c>
      <c r="E16" s="492"/>
      <c r="F16" s="492"/>
      <c r="G16" s="492"/>
      <c r="H16" s="492"/>
      <c r="I16" s="492"/>
      <c r="J16" s="492"/>
      <c r="K16" s="14"/>
      <c r="L16" s="5" t="s">
        <v>34</v>
      </c>
      <c r="M16" s="72">
        <v>15</v>
      </c>
    </row>
    <row r="17" spans="1:13" ht="13.5" thickBot="1" x14ac:dyDescent="0.3">
      <c r="L17" s="7" t="s">
        <v>35</v>
      </c>
      <c r="M17" s="67">
        <f>ROUND((M13*M14*M16)-(M15*J32),2)</f>
        <v>38.14</v>
      </c>
    </row>
    <row r="18" spans="1:13" ht="29.25" customHeight="1" thickTop="1" thickBot="1" x14ac:dyDescent="0.3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5">
      <c r="A19" s="22">
        <v>1</v>
      </c>
      <c r="B19" s="491" t="s">
        <v>7</v>
      </c>
      <c r="C19" s="491"/>
      <c r="D19" s="491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ht="13" x14ac:dyDescent="0.25">
      <c r="A20" s="24">
        <v>2</v>
      </c>
      <c r="B20" s="481" t="s">
        <v>63</v>
      </c>
      <c r="C20" s="481"/>
      <c r="D20" s="481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15</v>
      </c>
    </row>
    <row r="21" spans="1:13" ht="13" x14ac:dyDescent="0.25">
      <c r="A21" s="22">
        <v>3</v>
      </c>
      <c r="B21" s="481" t="s">
        <v>64</v>
      </c>
      <c r="C21" s="481"/>
      <c r="D21" s="481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358.95</v>
      </c>
    </row>
    <row r="22" spans="1:13" ht="13" x14ac:dyDescent="0.25">
      <c r="A22" s="24">
        <v>4</v>
      </c>
      <c r="B22" s="481" t="s">
        <v>8</v>
      </c>
      <c r="C22" s="481"/>
      <c r="D22" s="481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71.790000000000006</v>
      </c>
    </row>
    <row r="23" spans="1:13" ht="13.5" thickBot="1" x14ac:dyDescent="0.3">
      <c r="A23" s="22">
        <v>5</v>
      </c>
      <c r="B23" s="481" t="s">
        <v>9</v>
      </c>
      <c r="C23" s="481"/>
      <c r="D23" s="481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287.15999999999997</v>
      </c>
    </row>
    <row r="24" spans="1:13" ht="13.5" thickTop="1" x14ac:dyDescent="0.25">
      <c r="A24" s="24">
        <v>6</v>
      </c>
      <c r="B24" s="491" t="s">
        <v>248</v>
      </c>
      <c r="C24" s="491"/>
      <c r="D24" s="491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ht="13" x14ac:dyDescent="0.25">
      <c r="A25" s="22">
        <v>7</v>
      </c>
      <c r="B25" s="481" t="s">
        <v>249</v>
      </c>
      <c r="C25" s="481"/>
      <c r="D25" s="481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ht="13" x14ac:dyDescent="0.25">
      <c r="A26" s="24">
        <v>8</v>
      </c>
      <c r="B26" s="481" t="s">
        <v>250</v>
      </c>
      <c r="C26" s="481"/>
      <c r="D26" s="481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ht="13" x14ac:dyDescent="0.25">
      <c r="A27" s="22">
        <v>9</v>
      </c>
      <c r="B27" s="481" t="s">
        <v>251</v>
      </c>
      <c r="C27" s="481"/>
      <c r="D27" s="481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ht="13" x14ac:dyDescent="0.25">
      <c r="A28" s="24">
        <v>10</v>
      </c>
      <c r="B28" s="481" t="s">
        <v>252</v>
      </c>
      <c r="C28" s="481"/>
      <c r="D28" s="481"/>
      <c r="E28" s="188">
        <v>2</v>
      </c>
      <c r="F28" s="188">
        <v>2</v>
      </c>
      <c r="G28" s="188">
        <v>2</v>
      </c>
      <c r="H28" s="327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5">
      <c r="G29" s="169"/>
      <c r="H29" s="328"/>
      <c r="I29" s="169"/>
      <c r="J29" s="169"/>
      <c r="K29" s="233"/>
      <c r="L29" s="185"/>
      <c r="M29" s="207"/>
    </row>
    <row r="30" spans="1:13" ht="13" x14ac:dyDescent="0.25">
      <c r="A30" s="478" t="s">
        <v>65</v>
      </c>
      <c r="B30" s="479"/>
      <c r="C30" s="479"/>
      <c r="D30" s="479"/>
      <c r="E30" s="479"/>
      <c r="F30" s="479"/>
      <c r="G30" s="479"/>
      <c r="H30" s="479"/>
      <c r="I30" s="479"/>
      <c r="J30" s="480"/>
      <c r="L30" s="185"/>
      <c r="M30" s="207"/>
    </row>
    <row r="31" spans="1:13" ht="13" x14ac:dyDescent="0.25">
      <c r="A31" s="29">
        <v>1</v>
      </c>
      <c r="B31" s="478" t="s">
        <v>66</v>
      </c>
      <c r="C31" s="480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ht="13" x14ac:dyDescent="0.25">
      <c r="A32" s="32" t="s">
        <v>0</v>
      </c>
      <c r="B32" s="471" t="s">
        <v>24</v>
      </c>
      <c r="C32" s="472"/>
      <c r="D32" s="33"/>
      <c r="E32" s="34">
        <v>1447.6</v>
      </c>
      <c r="F32" s="329">
        <v>1500.4</v>
      </c>
      <c r="G32" s="329">
        <v>1500.4</v>
      </c>
      <c r="H32" s="329">
        <v>1590.6</v>
      </c>
      <c r="I32" s="329">
        <v>1590.6</v>
      </c>
      <c r="J32" s="344">
        <f>J21</f>
        <v>1764.4</v>
      </c>
      <c r="L32" s="185"/>
      <c r="M32" s="212"/>
    </row>
    <row r="33" spans="1:14" ht="28.5" customHeight="1" x14ac:dyDescent="0.25">
      <c r="A33" s="32" t="s">
        <v>1</v>
      </c>
      <c r="B33" s="471" t="s">
        <v>304</v>
      </c>
      <c r="C33" s="472"/>
      <c r="D33" s="120">
        <v>0.3</v>
      </c>
      <c r="E33" s="34">
        <v>434.28</v>
      </c>
      <c r="F33" s="34">
        <v>450.12</v>
      </c>
      <c r="G33" s="34">
        <v>450.12</v>
      </c>
      <c r="H33" s="329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5">
      <c r="A34" s="32" t="s">
        <v>2</v>
      </c>
      <c r="B34" s="471" t="s">
        <v>305</v>
      </c>
      <c r="C34" s="472"/>
      <c r="D34" s="33"/>
      <c r="E34" s="34">
        <v>16.45</v>
      </c>
      <c r="F34" s="34">
        <v>17.05</v>
      </c>
      <c r="G34" s="34">
        <v>17.05</v>
      </c>
      <c r="H34" s="329">
        <v>18.079999999999998</v>
      </c>
      <c r="I34" s="34">
        <v>18.079999999999998</v>
      </c>
      <c r="J34" s="34">
        <f>ROUND((J32/220)/6*15,2)</f>
        <v>20.05</v>
      </c>
      <c r="L34" s="170"/>
      <c r="M34" s="170"/>
      <c r="N34" s="170"/>
    </row>
    <row r="35" spans="1:14" ht="42" customHeight="1" x14ac:dyDescent="0.25">
      <c r="A35" s="32" t="s">
        <v>3</v>
      </c>
      <c r="B35" s="471" t="s">
        <v>306</v>
      </c>
      <c r="C35" s="472"/>
      <c r="D35" s="33"/>
      <c r="E35" s="34">
        <v>0</v>
      </c>
      <c r="F35" s="34">
        <v>0</v>
      </c>
      <c r="G35" s="34">
        <v>0</v>
      </c>
      <c r="H35" s="329">
        <v>0</v>
      </c>
      <c r="I35" s="34">
        <v>0</v>
      </c>
      <c r="J35" s="34">
        <v>0</v>
      </c>
      <c r="L35" s="170"/>
      <c r="M35" s="170"/>
    </row>
    <row r="36" spans="1:14" ht="56.25" customHeight="1" x14ac:dyDescent="0.25">
      <c r="A36" s="32" t="s">
        <v>4</v>
      </c>
      <c r="B36" s="471" t="s">
        <v>307</v>
      </c>
      <c r="C36" s="472"/>
      <c r="D36" s="33"/>
      <c r="E36" s="34">
        <v>0</v>
      </c>
      <c r="F36" s="34">
        <v>0</v>
      </c>
      <c r="G36" s="34">
        <v>0</v>
      </c>
      <c r="H36" s="329">
        <v>0</v>
      </c>
      <c r="I36" s="34">
        <v>0</v>
      </c>
      <c r="J36" s="34">
        <v>0</v>
      </c>
    </row>
    <row r="37" spans="1:14" ht="13" x14ac:dyDescent="0.25">
      <c r="A37" s="32" t="s">
        <v>5</v>
      </c>
      <c r="B37" s="471" t="s">
        <v>50</v>
      </c>
      <c r="C37" s="472"/>
      <c r="D37" s="33"/>
      <c r="E37" s="34">
        <v>2.74</v>
      </c>
      <c r="F37" s="34">
        <v>2.84</v>
      </c>
      <c r="G37" s="34">
        <v>2.84</v>
      </c>
      <c r="H37" s="329">
        <v>3.01</v>
      </c>
      <c r="I37" s="34">
        <v>3.01</v>
      </c>
      <c r="J37" s="34">
        <f>ROUND((J34+J35+J36)*16.67%,2)</f>
        <v>3.34</v>
      </c>
      <c r="K37" s="170">
        <f>ROUND((J34)*16.67%,2)</f>
        <v>3.34</v>
      </c>
      <c r="M37" s="9"/>
    </row>
    <row r="38" spans="1:14" ht="13" x14ac:dyDescent="0.25">
      <c r="A38" s="32" t="s">
        <v>6</v>
      </c>
      <c r="B38" s="471" t="s">
        <v>216</v>
      </c>
      <c r="C38" s="472"/>
      <c r="D38" s="33"/>
      <c r="E38" s="34">
        <v>0</v>
      </c>
      <c r="F38" s="34">
        <v>0</v>
      </c>
      <c r="G38" s="34">
        <v>0</v>
      </c>
      <c r="H38" s="329">
        <v>0</v>
      </c>
      <c r="I38" s="34">
        <v>0</v>
      </c>
      <c r="J38" s="34">
        <v>0</v>
      </c>
      <c r="M38" s="9"/>
    </row>
    <row r="39" spans="1:14" ht="13" x14ac:dyDescent="0.25">
      <c r="A39" s="475" t="s">
        <v>157</v>
      </c>
      <c r="B39" s="476"/>
      <c r="C39" s="476"/>
      <c r="D39" s="477"/>
      <c r="E39" s="35">
        <v>1901.07</v>
      </c>
      <c r="F39" s="31">
        <v>1970.41</v>
      </c>
      <c r="G39" s="35">
        <v>1970.41</v>
      </c>
      <c r="H39" s="35">
        <v>2088.87</v>
      </c>
      <c r="I39" s="35">
        <f>ROUND(SUM(I32:I38),2)</f>
        <v>2088.87</v>
      </c>
      <c r="J39" s="35">
        <f>ROUND(SUM(J32:J38),2)</f>
        <v>2317.11</v>
      </c>
      <c r="K39" s="35">
        <f>ROUND(SUM(J32:J38),2)-J34-K37</f>
        <v>2293.7199999999998</v>
      </c>
      <c r="M39" s="9"/>
    </row>
    <row r="40" spans="1:14" x14ac:dyDescent="0.25">
      <c r="M40" s="9"/>
    </row>
    <row r="41" spans="1:14" ht="13" x14ac:dyDescent="0.25">
      <c r="A41" s="478" t="s">
        <v>68</v>
      </c>
      <c r="B41" s="479"/>
      <c r="C41" s="479"/>
      <c r="D41" s="479"/>
      <c r="E41" s="479"/>
      <c r="F41" s="479"/>
      <c r="G41" s="479"/>
      <c r="H41" s="479"/>
      <c r="I41" s="479"/>
      <c r="J41" s="480"/>
      <c r="M41" s="9"/>
    </row>
    <row r="42" spans="1:14" ht="13" x14ac:dyDescent="0.25">
      <c r="A42" s="478" t="s">
        <v>69</v>
      </c>
      <c r="B42" s="479"/>
      <c r="C42" s="480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ht="13" x14ac:dyDescent="0.25">
      <c r="A43" s="32" t="s">
        <v>0</v>
      </c>
      <c r="B43" s="471" t="s">
        <v>70</v>
      </c>
      <c r="C43" s="472"/>
      <c r="D43" s="36">
        <f>'Encargos Sociais'!C5</f>
        <v>8.3299999999999999E-2</v>
      </c>
      <c r="E43" s="34">
        <v>156.76</v>
      </c>
      <c r="F43" s="34">
        <v>162.47999999999999</v>
      </c>
      <c r="G43" s="34">
        <v>162.47999999999999</v>
      </c>
      <c r="H43" s="329">
        <v>172.25</v>
      </c>
      <c r="I43" s="34">
        <v>172.25</v>
      </c>
      <c r="J43" s="34">
        <f>ROUND(D43*$K$39,2)</f>
        <v>191.07</v>
      </c>
    </row>
    <row r="44" spans="1:14" ht="13" x14ac:dyDescent="0.25">
      <c r="A44" s="32" t="s">
        <v>1</v>
      </c>
      <c r="B44" s="471" t="s">
        <v>49</v>
      </c>
      <c r="C44" s="472"/>
      <c r="D44" s="36">
        <f>'Encargos Sociais'!C11</f>
        <v>0.121</v>
      </c>
      <c r="E44" s="34">
        <v>227.71</v>
      </c>
      <c r="F44" s="34">
        <v>236.01</v>
      </c>
      <c r="G44" s="34">
        <v>236.01</v>
      </c>
      <c r="H44" s="329">
        <v>250.2</v>
      </c>
      <c r="I44" s="34">
        <v>250.2</v>
      </c>
      <c r="J44" s="34">
        <f>ROUND(D44*$K$39,2)</f>
        <v>277.54000000000002</v>
      </c>
      <c r="M44" s="9"/>
    </row>
    <row r="45" spans="1:14" ht="12.75" customHeight="1" x14ac:dyDescent="0.25">
      <c r="A45" s="475" t="s">
        <v>156</v>
      </c>
      <c r="B45" s="476"/>
      <c r="C45" s="477"/>
      <c r="D45" s="37">
        <f>SUM(D43:D44)</f>
        <v>0.20429999999999998</v>
      </c>
      <c r="E45" s="35">
        <v>384.47</v>
      </c>
      <c r="F45" s="35">
        <v>398.49</v>
      </c>
      <c r="G45" s="35">
        <v>398.49</v>
      </c>
      <c r="H45" s="35">
        <v>422.45</v>
      </c>
      <c r="I45" s="35">
        <f>ROUND(SUM(I43:I44),2)</f>
        <v>422.45</v>
      </c>
      <c r="J45" s="35">
        <f>ROUND(SUM(J43:J44),2)</f>
        <v>468.61</v>
      </c>
      <c r="M45" s="9"/>
    </row>
    <row r="46" spans="1:14" x14ac:dyDescent="0.25">
      <c r="M46" s="9"/>
    </row>
    <row r="47" spans="1:14" ht="12.75" customHeight="1" x14ac:dyDescent="0.25">
      <c r="A47" s="478" t="s">
        <v>71</v>
      </c>
      <c r="B47" s="479"/>
      <c r="C47" s="480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ht="13" x14ac:dyDescent="0.25">
      <c r="A48" s="32" t="s">
        <v>0</v>
      </c>
      <c r="B48" s="489" t="s">
        <v>16</v>
      </c>
      <c r="C48" s="490"/>
      <c r="D48" s="36">
        <f>'Encargos Sociais'!C16</f>
        <v>0.2</v>
      </c>
      <c r="E48" s="34">
        <v>376.38</v>
      </c>
      <c r="F48" s="34">
        <v>390.1</v>
      </c>
      <c r="G48" s="34">
        <v>390.1</v>
      </c>
      <c r="H48" s="329">
        <v>413.56</v>
      </c>
      <c r="I48" s="34">
        <v>413.56</v>
      </c>
      <c r="J48" s="34">
        <f t="shared" ref="J48:J55" si="0">ROUND(D48*($K$39),2)</f>
        <v>458.74</v>
      </c>
      <c r="M48" s="9"/>
    </row>
    <row r="49" spans="1:13" ht="13" x14ac:dyDescent="0.25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47.05</v>
      </c>
      <c r="F49" s="34">
        <v>48.76</v>
      </c>
      <c r="G49" s="34">
        <v>48.76</v>
      </c>
      <c r="H49" s="329">
        <v>51.69</v>
      </c>
      <c r="I49" s="34">
        <v>51.69</v>
      </c>
      <c r="J49" s="34">
        <f t="shared" si="0"/>
        <v>57.34</v>
      </c>
    </row>
    <row r="50" spans="1:13" ht="13" x14ac:dyDescent="0.25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76.78</v>
      </c>
      <c r="F50" s="34">
        <v>79.58</v>
      </c>
      <c r="G50" s="34">
        <v>79.58</v>
      </c>
      <c r="H50" s="329">
        <v>84.37</v>
      </c>
      <c r="I50" s="34">
        <v>84.37</v>
      </c>
      <c r="J50" s="34">
        <f t="shared" si="0"/>
        <v>93.58</v>
      </c>
    </row>
    <row r="51" spans="1:13" ht="13" x14ac:dyDescent="0.25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28.23</v>
      </c>
      <c r="F51" s="34">
        <v>29.26</v>
      </c>
      <c r="G51" s="34">
        <v>29.26</v>
      </c>
      <c r="H51" s="329">
        <v>31.02</v>
      </c>
      <c r="I51" s="34">
        <v>31.02</v>
      </c>
      <c r="J51" s="34">
        <f t="shared" si="0"/>
        <v>34.409999999999997</v>
      </c>
    </row>
    <row r="52" spans="1:13" ht="13" x14ac:dyDescent="0.25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18.82</v>
      </c>
      <c r="F52" s="34">
        <v>19.510000000000002</v>
      </c>
      <c r="G52" s="34">
        <v>19.510000000000002</v>
      </c>
      <c r="H52" s="329">
        <v>20.68</v>
      </c>
      <c r="I52" s="34">
        <v>20.68</v>
      </c>
      <c r="J52" s="34">
        <f t="shared" si="0"/>
        <v>22.94</v>
      </c>
    </row>
    <row r="53" spans="1:13" ht="13" x14ac:dyDescent="0.25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11.29</v>
      </c>
      <c r="F53" s="34">
        <v>11.7</v>
      </c>
      <c r="G53" s="34">
        <v>11.7</v>
      </c>
      <c r="H53" s="329">
        <v>12.41</v>
      </c>
      <c r="I53" s="34">
        <v>12.41</v>
      </c>
      <c r="J53" s="34">
        <f t="shared" si="0"/>
        <v>13.76</v>
      </c>
    </row>
    <row r="54" spans="1:13" ht="13" x14ac:dyDescent="0.25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3.76</v>
      </c>
      <c r="F54" s="34">
        <v>3.9</v>
      </c>
      <c r="G54" s="34">
        <v>3.9</v>
      </c>
      <c r="H54" s="329">
        <v>4.1399999999999997</v>
      </c>
      <c r="I54" s="34">
        <v>4.1399999999999997</v>
      </c>
      <c r="J54" s="34">
        <f t="shared" si="0"/>
        <v>4.59</v>
      </c>
    </row>
    <row r="55" spans="1:13" ht="13" x14ac:dyDescent="0.25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150.55000000000001</v>
      </c>
      <c r="F55" s="34">
        <v>156.04</v>
      </c>
      <c r="G55" s="34">
        <v>156.04</v>
      </c>
      <c r="H55" s="329">
        <v>165.42</v>
      </c>
      <c r="I55" s="34">
        <v>165.42</v>
      </c>
      <c r="J55" s="34">
        <f t="shared" si="0"/>
        <v>183.5</v>
      </c>
    </row>
    <row r="56" spans="1:13" ht="12.75" customHeight="1" x14ac:dyDescent="0.25">
      <c r="A56" s="475" t="s">
        <v>156</v>
      </c>
      <c r="B56" s="476"/>
      <c r="C56" s="477"/>
      <c r="D56" s="37">
        <f>SUM(D48:D55)</f>
        <v>0.37880000000000008</v>
      </c>
      <c r="E56" s="35">
        <v>712.86</v>
      </c>
      <c r="F56" s="35">
        <v>738.85</v>
      </c>
      <c r="G56" s="35">
        <v>738.85</v>
      </c>
      <c r="H56" s="35">
        <v>783.29</v>
      </c>
      <c r="I56" s="35">
        <f>ROUND(SUM(I48:I55),2)</f>
        <v>783.29</v>
      </c>
      <c r="J56" s="35">
        <f>ROUND(SUM(J48:J55),2)</f>
        <v>868.86</v>
      </c>
      <c r="K56" s="210"/>
      <c r="L56" s="20"/>
    </row>
    <row r="58" spans="1:13" ht="12.75" customHeight="1" x14ac:dyDescent="0.25">
      <c r="A58" s="478" t="s">
        <v>75</v>
      </c>
      <c r="B58" s="479"/>
      <c r="C58" s="480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5">
      <c r="A59" s="32" t="s">
        <v>0</v>
      </c>
      <c r="B59" s="471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72"/>
      <c r="D59" s="38" t="s">
        <v>76</v>
      </c>
      <c r="E59" s="34">
        <v>42.14</v>
      </c>
      <c r="F59" s="34">
        <v>38.979999999999997</v>
      </c>
      <c r="G59" s="34">
        <v>50.98</v>
      </c>
      <c r="H59" s="329">
        <v>45.56</v>
      </c>
      <c r="I59" s="34">
        <v>48.56</v>
      </c>
      <c r="J59" s="34">
        <f>IF(M17&lt;=0,0,IF(M17&gt;0,M17))</f>
        <v>38.14</v>
      </c>
      <c r="K59" s="39"/>
      <c r="L59" s="40"/>
    </row>
    <row r="60" spans="1:13" ht="54" customHeight="1" x14ac:dyDescent="0.25">
      <c r="A60" s="32" t="s">
        <v>1</v>
      </c>
      <c r="B60" s="471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15 Dias Trabalhados) - (20% do desconto legal) ]</v>
      </c>
      <c r="C60" s="472"/>
      <c r="D60" s="38" t="s">
        <v>76</v>
      </c>
      <c r="E60" s="34">
        <v>230.76</v>
      </c>
      <c r="F60" s="329">
        <v>240</v>
      </c>
      <c r="G60" s="329">
        <v>240</v>
      </c>
      <c r="H60" s="329">
        <v>258</v>
      </c>
      <c r="I60" s="329">
        <v>258</v>
      </c>
      <c r="J60" s="344">
        <f>M23</f>
        <v>287.15999999999997</v>
      </c>
      <c r="K60" s="39"/>
      <c r="L60" s="40"/>
      <c r="M60" s="41"/>
    </row>
    <row r="61" spans="1:13" ht="13" x14ac:dyDescent="0.25">
      <c r="A61" s="32" t="s">
        <v>2</v>
      </c>
      <c r="B61" s="471" t="s">
        <v>314</v>
      </c>
      <c r="C61" s="472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5">
      <c r="A62" s="475" t="s">
        <v>156</v>
      </c>
      <c r="B62" s="476"/>
      <c r="C62" s="477"/>
      <c r="D62" s="42"/>
      <c r="E62" s="35">
        <v>275.39999999999998</v>
      </c>
      <c r="F62" s="35">
        <v>281.48</v>
      </c>
      <c r="G62" s="35">
        <v>293.48</v>
      </c>
      <c r="H62" s="35">
        <v>306.06</v>
      </c>
      <c r="I62" s="35">
        <f>ROUND(SUM(I59:I61),2)</f>
        <v>309.06</v>
      </c>
      <c r="J62" s="35">
        <f>ROUND(SUM(J59:J61),2)</f>
        <v>327.8</v>
      </c>
    </row>
    <row r="64" spans="1:13" ht="12.75" customHeight="1" x14ac:dyDescent="0.25">
      <c r="A64" s="486" t="s">
        <v>77</v>
      </c>
      <c r="B64" s="486"/>
      <c r="C64" s="486"/>
      <c r="D64" s="486"/>
      <c r="E64" s="486"/>
      <c r="F64" s="486"/>
      <c r="G64" s="486"/>
      <c r="H64" s="486"/>
      <c r="I64" s="486"/>
      <c r="J64" s="486"/>
    </row>
    <row r="65" spans="1:10" ht="12.75" customHeight="1" x14ac:dyDescent="0.25">
      <c r="A65" s="486" t="s">
        <v>78</v>
      </c>
      <c r="B65" s="486"/>
      <c r="C65" s="486"/>
      <c r="D65" s="486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ht="13" x14ac:dyDescent="0.25">
      <c r="A66" s="12" t="s">
        <v>79</v>
      </c>
      <c r="B66" s="481" t="s">
        <v>80</v>
      </c>
      <c r="C66" s="481"/>
      <c r="D66" s="481"/>
      <c r="E66" s="230">
        <v>384.47</v>
      </c>
      <c r="F66" s="25">
        <v>398.49</v>
      </c>
      <c r="G66" s="25">
        <v>398.49</v>
      </c>
      <c r="H66" s="323">
        <v>422.45</v>
      </c>
      <c r="I66" s="25">
        <v>422.45</v>
      </c>
      <c r="J66" s="25">
        <f>J45</f>
        <v>468.61</v>
      </c>
    </row>
    <row r="67" spans="1:10" ht="13" x14ac:dyDescent="0.25">
      <c r="A67" s="12" t="s">
        <v>81</v>
      </c>
      <c r="B67" s="481" t="s">
        <v>82</v>
      </c>
      <c r="C67" s="481"/>
      <c r="D67" s="481"/>
      <c r="E67" s="230">
        <v>712.86</v>
      </c>
      <c r="F67" s="25">
        <v>738.85</v>
      </c>
      <c r="G67" s="25">
        <v>738.85</v>
      </c>
      <c r="H67" s="323">
        <v>783.29</v>
      </c>
      <c r="I67" s="25">
        <v>783.29</v>
      </c>
      <c r="J67" s="25">
        <f>J56</f>
        <v>868.86</v>
      </c>
    </row>
    <row r="68" spans="1:10" ht="13" x14ac:dyDescent="0.25">
      <c r="A68" s="12" t="s">
        <v>83</v>
      </c>
      <c r="B68" s="481" t="s">
        <v>25</v>
      </c>
      <c r="C68" s="481"/>
      <c r="D68" s="481"/>
      <c r="E68" s="230">
        <v>275.39999999999998</v>
      </c>
      <c r="F68" s="25">
        <v>281.48</v>
      </c>
      <c r="G68" s="25">
        <v>293.48</v>
      </c>
      <c r="H68" s="323">
        <v>306.06</v>
      </c>
      <c r="I68" s="25">
        <v>309.06</v>
      </c>
      <c r="J68" s="25">
        <f>J62</f>
        <v>327.8</v>
      </c>
    </row>
    <row r="69" spans="1:10" ht="12.75" customHeight="1" x14ac:dyDescent="0.25">
      <c r="A69" s="474" t="s">
        <v>156</v>
      </c>
      <c r="B69" s="474"/>
      <c r="C69" s="474"/>
      <c r="D69" s="474"/>
      <c r="E69" s="241">
        <v>1372.73</v>
      </c>
      <c r="F69" s="128">
        <v>1418.82</v>
      </c>
      <c r="G69" s="35">
        <v>1430.82</v>
      </c>
      <c r="H69" s="35">
        <v>1511.8</v>
      </c>
      <c r="I69" s="35">
        <f>ROUND(SUM(I66:I68),2)</f>
        <v>1514.8</v>
      </c>
      <c r="J69" s="35">
        <f>ROUND(SUM(J66:J68),2)</f>
        <v>1665.27</v>
      </c>
    </row>
    <row r="71" spans="1:10" ht="13" x14ac:dyDescent="0.25">
      <c r="A71" s="478" t="s">
        <v>84</v>
      </c>
      <c r="B71" s="479"/>
      <c r="C71" s="479"/>
      <c r="D71" s="479"/>
      <c r="E71" s="479"/>
      <c r="F71" s="479"/>
      <c r="G71" s="479"/>
      <c r="H71" s="479"/>
      <c r="I71" s="479"/>
      <c r="J71" s="480"/>
    </row>
    <row r="72" spans="1:10" ht="13" x14ac:dyDescent="0.25">
      <c r="A72" s="29">
        <v>3</v>
      </c>
      <c r="B72" s="478" t="s">
        <v>85</v>
      </c>
      <c r="C72" s="480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ht="13" x14ac:dyDescent="0.25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7.9</v>
      </c>
      <c r="F73" s="34">
        <v>8.19</v>
      </c>
      <c r="G73" s="34">
        <v>8.19</v>
      </c>
      <c r="H73" s="329">
        <v>8.68</v>
      </c>
      <c r="I73" s="34">
        <v>8.68</v>
      </c>
      <c r="J73" s="34">
        <f t="shared" ref="J73:J78" si="1">ROUND(D73*$K$39,2)</f>
        <v>9.6300000000000008</v>
      </c>
    </row>
    <row r="74" spans="1:10" ht="13" x14ac:dyDescent="0.25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0.56000000000000005</v>
      </c>
      <c r="F74" s="34">
        <v>0.59</v>
      </c>
      <c r="G74" s="34">
        <v>0.59</v>
      </c>
      <c r="H74" s="329">
        <v>0.62</v>
      </c>
      <c r="I74" s="34">
        <v>0.62</v>
      </c>
      <c r="J74" s="34">
        <f t="shared" si="1"/>
        <v>0.69</v>
      </c>
    </row>
    <row r="75" spans="1:10" ht="13" x14ac:dyDescent="0.25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4.5199999999999996</v>
      </c>
      <c r="F75" s="34">
        <v>4.68</v>
      </c>
      <c r="G75" s="34">
        <v>3.74</v>
      </c>
      <c r="H75" s="329">
        <v>3.97</v>
      </c>
      <c r="I75" s="34">
        <v>3.97</v>
      </c>
      <c r="J75" s="34">
        <f t="shared" si="1"/>
        <v>4.4000000000000004</v>
      </c>
    </row>
    <row r="76" spans="1:10" ht="13" x14ac:dyDescent="0.25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3.01</v>
      </c>
      <c r="F76" s="34">
        <v>3.12</v>
      </c>
      <c r="G76" s="34">
        <v>3.12</v>
      </c>
      <c r="H76" s="329">
        <v>3.31</v>
      </c>
      <c r="I76" s="34">
        <v>3.31</v>
      </c>
      <c r="J76" s="34">
        <f t="shared" si="1"/>
        <v>3.67</v>
      </c>
    </row>
    <row r="77" spans="1:10" ht="25.5" customHeight="1" x14ac:dyDescent="0.25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1.1299999999999999</v>
      </c>
      <c r="F77" s="34">
        <v>1.17</v>
      </c>
      <c r="G77" s="34">
        <v>1.17</v>
      </c>
      <c r="H77" s="329">
        <v>1.24</v>
      </c>
      <c r="I77" s="34">
        <v>1.24</v>
      </c>
      <c r="J77" s="34">
        <f t="shared" si="1"/>
        <v>1.38</v>
      </c>
    </row>
    <row r="78" spans="1:10" ht="13" x14ac:dyDescent="0.25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89.58</v>
      </c>
      <c r="F78" s="34">
        <v>92.84</v>
      </c>
      <c r="G78" s="34">
        <v>74.28</v>
      </c>
      <c r="H78" s="329">
        <v>78.739999999999995</v>
      </c>
      <c r="I78" s="34">
        <v>78.739999999999995</v>
      </c>
      <c r="J78" s="34">
        <f t="shared" si="1"/>
        <v>87.34</v>
      </c>
    </row>
    <row r="79" spans="1:10" ht="12.75" customHeight="1" x14ac:dyDescent="0.25">
      <c r="A79" s="475" t="s">
        <v>156</v>
      </c>
      <c r="B79" s="476"/>
      <c r="C79" s="477"/>
      <c r="D79" s="37">
        <f>SUM(D73:D78)</f>
        <v>4.6699999999999992E-2</v>
      </c>
      <c r="E79" s="31">
        <v>106.7</v>
      </c>
      <c r="F79" s="35">
        <v>110.59</v>
      </c>
      <c r="G79" s="35">
        <v>91.09</v>
      </c>
      <c r="H79" s="35">
        <v>96.56</v>
      </c>
      <c r="I79" s="35">
        <f>ROUND(SUM(I73:I78),2)</f>
        <v>96.56</v>
      </c>
      <c r="J79" s="35">
        <f>ROUND(SUM(J73:J78),2)</f>
        <v>107.11</v>
      </c>
    </row>
    <row r="81" spans="1:13" ht="13" x14ac:dyDescent="0.25">
      <c r="A81" s="478" t="s">
        <v>92</v>
      </c>
      <c r="B81" s="479"/>
      <c r="C81" s="479"/>
      <c r="D81" s="479"/>
      <c r="E81" s="479"/>
      <c r="F81" s="479"/>
      <c r="G81" s="479"/>
      <c r="H81" s="479"/>
      <c r="I81" s="479"/>
      <c r="J81" s="480"/>
    </row>
    <row r="82" spans="1:13" ht="13" x14ac:dyDescent="0.25">
      <c r="A82" s="46"/>
      <c r="B82" s="478" t="s">
        <v>93</v>
      </c>
      <c r="C82" s="480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3" ht="13" x14ac:dyDescent="0.25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19.010000000000002</v>
      </c>
      <c r="F83" s="34">
        <v>19.7</v>
      </c>
      <c r="G83" s="34">
        <v>19.7</v>
      </c>
      <c r="H83" s="329">
        <v>20.88</v>
      </c>
      <c r="I83" s="34">
        <v>20.88</v>
      </c>
      <c r="J83" s="34">
        <f t="shared" ref="J83:J88" si="2">ROUND(D83*$K$39,2)</f>
        <v>23.17</v>
      </c>
    </row>
    <row r="84" spans="1:13" ht="13" x14ac:dyDescent="0.25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10.54</v>
      </c>
      <c r="F84" s="34">
        <v>10.92</v>
      </c>
      <c r="G84" s="34">
        <v>10.92</v>
      </c>
      <c r="H84" s="329">
        <v>11.58</v>
      </c>
      <c r="I84" s="34">
        <v>11.58</v>
      </c>
      <c r="J84" s="34">
        <f t="shared" si="2"/>
        <v>12.84</v>
      </c>
    </row>
    <row r="85" spans="1:13" ht="13" x14ac:dyDescent="0.25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26.16</v>
      </c>
      <c r="F85" s="34">
        <v>27.11</v>
      </c>
      <c r="G85" s="34">
        <v>27.11</v>
      </c>
      <c r="H85" s="329">
        <v>28.74</v>
      </c>
      <c r="I85" s="34">
        <v>28.74</v>
      </c>
      <c r="J85" s="34">
        <f t="shared" si="2"/>
        <v>31.88</v>
      </c>
      <c r="M85" s="114"/>
    </row>
    <row r="86" spans="1:13" ht="13" x14ac:dyDescent="0.25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3.2</v>
      </c>
      <c r="F86" s="34">
        <v>3.32</v>
      </c>
      <c r="G86" s="34">
        <v>3.32</v>
      </c>
      <c r="H86" s="329">
        <v>3.52</v>
      </c>
      <c r="I86" s="34">
        <v>3.52</v>
      </c>
      <c r="J86" s="34">
        <f t="shared" si="2"/>
        <v>3.9</v>
      </c>
    </row>
    <row r="87" spans="1:13" ht="13" x14ac:dyDescent="0.25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3.95</v>
      </c>
      <c r="F87" s="34">
        <v>4.0999999999999996</v>
      </c>
      <c r="G87" s="34">
        <v>4.0999999999999996</v>
      </c>
      <c r="H87" s="329">
        <v>4.34</v>
      </c>
      <c r="I87" s="34">
        <v>4.34</v>
      </c>
      <c r="J87" s="34">
        <f t="shared" si="2"/>
        <v>4.82</v>
      </c>
    </row>
    <row r="88" spans="1:13" ht="13" x14ac:dyDescent="0.25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1.32</v>
      </c>
      <c r="F88" s="34">
        <v>1.37</v>
      </c>
      <c r="G88" s="34">
        <v>1.37</v>
      </c>
      <c r="H88" s="329">
        <v>1.45</v>
      </c>
      <c r="I88" s="34">
        <v>1.45</v>
      </c>
      <c r="J88" s="34">
        <f t="shared" si="2"/>
        <v>1.61</v>
      </c>
    </row>
    <row r="89" spans="1:13" ht="12.75" customHeight="1" x14ac:dyDescent="0.25">
      <c r="A89" s="475" t="s">
        <v>156</v>
      </c>
      <c r="B89" s="476"/>
      <c r="C89" s="477"/>
      <c r="D89" s="37">
        <f>SUM(D83:D88)</f>
        <v>3.4099999999999991E-2</v>
      </c>
      <c r="E89" s="35">
        <v>64.180000000000007</v>
      </c>
      <c r="F89" s="35">
        <v>66.52</v>
      </c>
      <c r="G89" s="35">
        <v>66.52</v>
      </c>
      <c r="H89" s="35">
        <v>70.510000000000005</v>
      </c>
      <c r="I89" s="35">
        <f>ROUND(SUM(I83:I88),2)</f>
        <v>70.510000000000005</v>
      </c>
      <c r="J89" s="35">
        <f>ROUND(SUM(J83:J88),2)</f>
        <v>78.22</v>
      </c>
    </row>
    <row r="90" spans="1:13" x14ac:dyDescent="0.25">
      <c r="E90" s="10"/>
      <c r="F90" s="10"/>
      <c r="M90" s="121"/>
    </row>
    <row r="91" spans="1:13" ht="12.75" customHeight="1" x14ac:dyDescent="0.25">
      <c r="A91" s="478" t="s">
        <v>93</v>
      </c>
      <c r="B91" s="479"/>
      <c r="C91" s="479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  <c r="M91" s="121"/>
    </row>
    <row r="92" spans="1:13" ht="12.75" customHeight="1" x14ac:dyDescent="0.25">
      <c r="A92" s="32" t="s">
        <v>6</v>
      </c>
      <c r="B92" s="471" t="s">
        <v>155</v>
      </c>
      <c r="C92" s="487"/>
      <c r="D92" s="129">
        <f>((D56)*(D45+D89))</f>
        <v>9.0305920000000012E-2</v>
      </c>
      <c r="E92" s="34">
        <v>169.94</v>
      </c>
      <c r="F92" s="34">
        <v>176.14</v>
      </c>
      <c r="G92" s="34">
        <v>176.14</v>
      </c>
      <c r="H92" s="329">
        <v>186.73</v>
      </c>
      <c r="I92" s="34">
        <v>186.73</v>
      </c>
      <c r="J92" s="34">
        <f>ROUND(D92*$K$39,2)</f>
        <v>207.14</v>
      </c>
      <c r="M92" s="121"/>
    </row>
    <row r="93" spans="1:13" ht="12.75" customHeight="1" x14ac:dyDescent="0.25">
      <c r="A93" s="475" t="s">
        <v>156</v>
      </c>
      <c r="B93" s="476"/>
      <c r="C93" s="476"/>
      <c r="D93" s="130">
        <f>D92</f>
        <v>9.0305920000000012E-2</v>
      </c>
      <c r="E93" s="128">
        <v>169.94</v>
      </c>
      <c r="F93" s="128">
        <v>176.14</v>
      </c>
      <c r="G93" s="128">
        <v>176.14</v>
      </c>
      <c r="H93" s="128">
        <v>186.73</v>
      </c>
      <c r="I93" s="128">
        <f>ROUND(SUM(I92:I92),2)</f>
        <v>186.73</v>
      </c>
      <c r="J93" s="128">
        <f>ROUND(SUM(J92:J92),2)</f>
        <v>207.14</v>
      </c>
      <c r="M93" s="121"/>
    </row>
    <row r="94" spans="1:13" x14ac:dyDescent="0.25">
      <c r="E94" s="10"/>
      <c r="F94" s="10"/>
    </row>
    <row r="95" spans="1:13" ht="12.75" customHeight="1" x14ac:dyDescent="0.25">
      <c r="A95" s="478" t="s">
        <v>142</v>
      </c>
      <c r="B95" s="479"/>
      <c r="C95" s="479"/>
      <c r="D95" s="480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3" ht="13" x14ac:dyDescent="0.25">
      <c r="A96" s="32" t="s">
        <v>0</v>
      </c>
      <c r="B96" s="471" t="s">
        <v>253</v>
      </c>
      <c r="C96" s="487"/>
      <c r="D96" s="472"/>
      <c r="E96" s="34">
        <v>74.03</v>
      </c>
      <c r="F96" s="34">
        <v>76.73</v>
      </c>
      <c r="G96" s="34">
        <v>76.73</v>
      </c>
      <c r="H96" s="329">
        <v>81.34</v>
      </c>
      <c r="I96" s="34">
        <f>ROUND((I21/220)*M16*1.5*0.25,2)</f>
        <v>40.67</v>
      </c>
      <c r="J96" s="34">
        <f>ROUND((J21/220)*M16*1.5*0.5,2)</f>
        <v>90.23</v>
      </c>
    </row>
    <row r="97" spans="1:13" ht="12.75" customHeight="1" x14ac:dyDescent="0.25">
      <c r="A97" s="475" t="s">
        <v>156</v>
      </c>
      <c r="B97" s="476"/>
      <c r="C97" s="476"/>
      <c r="D97" s="477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40.67</v>
      </c>
      <c r="J97" s="35">
        <f>ROUND(SUM(J96:J96),2)</f>
        <v>90.23</v>
      </c>
    </row>
    <row r="98" spans="1:13" ht="33" customHeight="1" x14ac:dyDescent="0.25">
      <c r="A98" s="488" t="s">
        <v>143</v>
      </c>
      <c r="B98" s="488"/>
      <c r="C98" s="488"/>
      <c r="D98" s="488"/>
      <c r="E98" s="488"/>
      <c r="F98" s="488"/>
      <c r="G98" s="488"/>
      <c r="H98" s="488"/>
      <c r="I98" s="488"/>
      <c r="J98" s="488"/>
    </row>
    <row r="99" spans="1:13" x14ac:dyDescent="0.25">
      <c r="M99" s="114"/>
    </row>
    <row r="100" spans="1:13" ht="12.75" customHeight="1" x14ac:dyDescent="0.25">
      <c r="A100" s="486" t="s">
        <v>99</v>
      </c>
      <c r="B100" s="486"/>
      <c r="C100" s="486"/>
      <c r="D100" s="486"/>
      <c r="E100" s="486"/>
      <c r="F100" s="486"/>
      <c r="G100" s="486"/>
      <c r="H100" s="486"/>
      <c r="I100" s="486"/>
      <c r="J100" s="486"/>
    </row>
    <row r="101" spans="1:13" ht="12.75" customHeight="1" x14ac:dyDescent="0.25">
      <c r="A101" s="486" t="s">
        <v>100</v>
      </c>
      <c r="B101" s="486"/>
      <c r="C101" s="486"/>
      <c r="D101" s="486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3" ht="13" x14ac:dyDescent="0.25">
      <c r="A102" s="48" t="s">
        <v>26</v>
      </c>
      <c r="B102" s="481" t="s">
        <v>95</v>
      </c>
      <c r="C102" s="481"/>
      <c r="D102" s="481"/>
      <c r="E102" s="25">
        <v>234.12</v>
      </c>
      <c r="F102" s="25">
        <v>242.66</v>
      </c>
      <c r="G102" s="25">
        <v>242.66</v>
      </c>
      <c r="H102" s="323">
        <v>257.24</v>
      </c>
      <c r="I102" s="25">
        <v>257.24</v>
      </c>
      <c r="J102" s="25">
        <f>ROUND(J89+J93,2)</f>
        <v>285.36</v>
      </c>
    </row>
    <row r="103" spans="1:13" ht="13" x14ac:dyDescent="0.25">
      <c r="A103" s="48" t="s">
        <v>27</v>
      </c>
      <c r="B103" s="481" t="s">
        <v>101</v>
      </c>
      <c r="C103" s="481"/>
      <c r="D103" s="481"/>
      <c r="E103" s="25">
        <v>74.03</v>
      </c>
      <c r="F103" s="25">
        <v>76.73</v>
      </c>
      <c r="G103" s="25">
        <v>76.73</v>
      </c>
      <c r="H103" s="323">
        <v>81.34</v>
      </c>
      <c r="I103" s="25">
        <f>I97</f>
        <v>40.67</v>
      </c>
      <c r="J103" s="25">
        <f>J97</f>
        <v>90.23</v>
      </c>
    </row>
    <row r="104" spans="1:13" ht="12.75" customHeight="1" x14ac:dyDescent="0.25">
      <c r="A104" s="474" t="s">
        <v>102</v>
      </c>
      <c r="B104" s="474"/>
      <c r="C104" s="474"/>
      <c r="D104" s="474"/>
      <c r="E104" s="35">
        <v>308.14999999999998</v>
      </c>
      <c r="F104" s="35">
        <v>319.39</v>
      </c>
      <c r="G104" s="35">
        <v>319.39</v>
      </c>
      <c r="H104" s="35">
        <v>338.58</v>
      </c>
      <c r="I104" s="35">
        <f>ROUND(SUM(I102:I103),2)</f>
        <v>297.91000000000003</v>
      </c>
      <c r="J104" s="35">
        <f>ROUND(SUM(J102:J103),2)</f>
        <v>375.59</v>
      </c>
    </row>
    <row r="106" spans="1:13" ht="13" x14ac:dyDescent="0.25">
      <c r="A106" s="478" t="s">
        <v>103</v>
      </c>
      <c r="B106" s="479"/>
      <c r="C106" s="479"/>
      <c r="D106" s="479"/>
      <c r="E106" s="479"/>
      <c r="F106" s="479"/>
      <c r="G106" s="479"/>
      <c r="H106" s="479"/>
      <c r="I106" s="479"/>
      <c r="J106" s="480"/>
    </row>
    <row r="107" spans="1:13" ht="13" x14ac:dyDescent="0.25">
      <c r="A107" s="29">
        <v>5</v>
      </c>
      <c r="B107" s="478" t="s">
        <v>104</v>
      </c>
      <c r="C107" s="480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</row>
    <row r="108" spans="1:13" ht="13" x14ac:dyDescent="0.25">
      <c r="A108" s="32" t="s">
        <v>0</v>
      </c>
      <c r="B108" s="471" t="s">
        <v>129</v>
      </c>
      <c r="C108" s="472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18.72</v>
      </c>
    </row>
    <row r="109" spans="1:13" ht="13" x14ac:dyDescent="0.25">
      <c r="A109" s="32" t="s">
        <v>1</v>
      </c>
      <c r="B109" s="471" t="s">
        <v>190</v>
      </c>
      <c r="C109" s="472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329">
        <v>17.690000000000001</v>
      </c>
      <c r="I109" s="34">
        <v>17.690000000000001</v>
      </c>
      <c r="J109" s="347">
        <f>'Uniformes e Equiptos'!H41</f>
        <v>19.46</v>
      </c>
      <c r="K109" s="49"/>
    </row>
    <row r="110" spans="1:13" ht="13" x14ac:dyDescent="0.25">
      <c r="A110" s="32" t="s">
        <v>2</v>
      </c>
      <c r="B110" s="471" t="s">
        <v>187</v>
      </c>
      <c r="C110" s="472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</row>
    <row r="111" spans="1:13" ht="12.75" customHeight="1" x14ac:dyDescent="0.25">
      <c r="A111" s="475" t="s">
        <v>156</v>
      </c>
      <c r="B111" s="476"/>
      <c r="C111" s="477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38.18</v>
      </c>
    </row>
    <row r="113" spans="1:12" ht="13" x14ac:dyDescent="0.25">
      <c r="A113" s="478" t="s">
        <v>105</v>
      </c>
      <c r="B113" s="479"/>
      <c r="C113" s="479"/>
      <c r="D113" s="479"/>
      <c r="E113" s="479"/>
      <c r="F113" s="479"/>
      <c r="G113" s="479"/>
      <c r="H113" s="479"/>
      <c r="I113" s="479"/>
      <c r="J113" s="480"/>
    </row>
    <row r="114" spans="1:12" ht="13" x14ac:dyDescent="0.25">
      <c r="A114" s="29">
        <v>6</v>
      </c>
      <c r="B114" s="478" t="s">
        <v>106</v>
      </c>
      <c r="C114" s="480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</row>
    <row r="115" spans="1:12" ht="28.5" customHeight="1" x14ac:dyDescent="0.25">
      <c r="A115" s="32" t="s">
        <v>0</v>
      </c>
      <c r="B115" s="471" t="s">
        <v>301</v>
      </c>
      <c r="C115" s="472"/>
      <c r="D115" s="51">
        <v>0.03</v>
      </c>
      <c r="E115" s="34">
        <v>111.7</v>
      </c>
      <c r="F115" s="34">
        <v>115.62</v>
      </c>
      <c r="G115" s="34">
        <v>115.39</v>
      </c>
      <c r="H115" s="329">
        <v>122.12</v>
      </c>
      <c r="I115" s="34">
        <v>122.21</v>
      </c>
      <c r="J115" s="34">
        <f>ROUND(J130*D115,2)</f>
        <v>135.1</v>
      </c>
      <c r="K115" s="132"/>
      <c r="L115" s="138"/>
    </row>
    <row r="116" spans="1:12" ht="13" x14ac:dyDescent="0.25">
      <c r="A116" s="32" t="s">
        <v>1</v>
      </c>
      <c r="B116" s="52" t="s">
        <v>12</v>
      </c>
      <c r="C116" s="53"/>
      <c r="D116" s="51">
        <v>1.0200000000000001E-2</v>
      </c>
      <c r="E116" s="34">
        <v>39.119999999999997</v>
      </c>
      <c r="F116" s="34">
        <v>40.49</v>
      </c>
      <c r="G116" s="34">
        <v>40.409999999999997</v>
      </c>
      <c r="H116" s="329">
        <v>42.76</v>
      </c>
      <c r="I116" s="34">
        <v>42.8</v>
      </c>
      <c r="J116" s="34">
        <f>ROUND((J130+J115)*D116,2)</f>
        <v>47.31</v>
      </c>
      <c r="K116" s="133"/>
      <c r="L116" s="139"/>
    </row>
    <row r="117" spans="1:12" ht="13" x14ac:dyDescent="0.25">
      <c r="A117" s="32" t="s">
        <v>2</v>
      </c>
      <c r="B117" s="483" t="s">
        <v>302</v>
      </c>
      <c r="C117" s="484"/>
      <c r="D117" s="54"/>
      <c r="E117" s="55"/>
      <c r="F117" s="55"/>
      <c r="G117" s="55"/>
      <c r="H117" s="330"/>
      <c r="I117" s="55"/>
      <c r="J117" s="55"/>
    </row>
    <row r="118" spans="1:12" ht="13" x14ac:dyDescent="0.25">
      <c r="A118" s="32" t="s">
        <v>107</v>
      </c>
      <c r="B118" s="471" t="s">
        <v>13</v>
      </c>
      <c r="C118" s="472"/>
      <c r="D118" s="51">
        <v>6.4999999999999997E-3</v>
      </c>
      <c r="E118" s="34">
        <v>26.83</v>
      </c>
      <c r="F118" s="34">
        <v>27.77</v>
      </c>
      <c r="G118" s="34">
        <v>27.72</v>
      </c>
      <c r="H118" s="329">
        <v>29.33</v>
      </c>
      <c r="I118" s="34">
        <v>29.36</v>
      </c>
      <c r="J118" s="34">
        <f>ROUND((($J$130+$J$115+$J$116)/(1-($D$118+$D$119+$D$120)))*D118,2)</f>
        <v>32.450000000000003</v>
      </c>
      <c r="K118" s="469"/>
      <c r="L118" s="470"/>
    </row>
    <row r="119" spans="1:12" ht="13" x14ac:dyDescent="0.25">
      <c r="A119" s="32" t="s">
        <v>108</v>
      </c>
      <c r="B119" s="471" t="s">
        <v>14</v>
      </c>
      <c r="C119" s="472"/>
      <c r="D119" s="51">
        <v>0.03</v>
      </c>
      <c r="E119" s="34">
        <v>123.84</v>
      </c>
      <c r="F119" s="34">
        <v>128.18</v>
      </c>
      <c r="G119" s="34">
        <v>127.93</v>
      </c>
      <c r="H119" s="329">
        <v>135.38999999999999</v>
      </c>
      <c r="I119" s="34">
        <v>135.49</v>
      </c>
      <c r="J119" s="34">
        <f>ROUND((($J$130+$J$115+$J$116)/(1-($D$118+$D$119+$D$120)))*D119,2)</f>
        <v>149.78</v>
      </c>
      <c r="K119" s="469"/>
      <c r="L119" s="470"/>
    </row>
    <row r="120" spans="1:12" ht="13" x14ac:dyDescent="0.25">
      <c r="A120" s="32" t="s">
        <v>109</v>
      </c>
      <c r="B120" s="471" t="s">
        <v>30</v>
      </c>
      <c r="C120" s="472"/>
      <c r="D120" s="51">
        <f>M9</f>
        <v>2.5000000000000001E-2</v>
      </c>
      <c r="E120" s="34">
        <v>103.2</v>
      </c>
      <c r="F120" s="34">
        <v>106.82</v>
      </c>
      <c r="G120" s="34">
        <v>106.61</v>
      </c>
      <c r="H120" s="329">
        <v>112.82</v>
      </c>
      <c r="I120" s="34">
        <v>112.91</v>
      </c>
      <c r="J120" s="34">
        <f>ROUND((($J$130+$J$115+$J$116)/(1-($D$118+$D$119+$D$120)))*D120,2)</f>
        <v>124.82</v>
      </c>
    </row>
    <row r="121" spans="1:12" ht="12.75" customHeight="1" x14ac:dyDescent="0.25">
      <c r="A121" s="475" t="s">
        <v>157</v>
      </c>
      <c r="B121" s="476"/>
      <c r="C121" s="477"/>
      <c r="D121" s="47">
        <f>SUM(D115:D120)</f>
        <v>0.10169999999999998</v>
      </c>
      <c r="E121" s="31">
        <v>404.69</v>
      </c>
      <c r="F121" s="31">
        <v>418.88000000000005</v>
      </c>
      <c r="G121" s="31">
        <v>418.06000000000006</v>
      </c>
      <c r="H121" s="31">
        <v>442.41999999999996</v>
      </c>
      <c r="I121" s="31">
        <f>SUM(I115:I120)</f>
        <v>442.77</v>
      </c>
      <c r="J121" s="31">
        <f>SUM(J115:J120)</f>
        <v>489.46</v>
      </c>
    </row>
    <row r="123" spans="1:12" ht="12.75" customHeight="1" x14ac:dyDescent="0.25">
      <c r="A123" s="486" t="s">
        <v>110</v>
      </c>
      <c r="B123" s="486"/>
      <c r="C123" s="486"/>
      <c r="D123" s="486"/>
      <c r="E123" s="486"/>
      <c r="F123" s="486"/>
      <c r="G123" s="486"/>
      <c r="H123" s="486"/>
      <c r="I123" s="486"/>
      <c r="J123" s="486"/>
    </row>
    <row r="124" spans="1:12" ht="12.75" customHeight="1" x14ac:dyDescent="0.25">
      <c r="A124" s="486" t="s">
        <v>111</v>
      </c>
      <c r="B124" s="486"/>
      <c r="C124" s="486"/>
      <c r="D124" s="486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2" x14ac:dyDescent="0.25">
      <c r="A125" s="21" t="s">
        <v>0</v>
      </c>
      <c r="B125" s="481" t="s">
        <v>65</v>
      </c>
      <c r="C125" s="481"/>
      <c r="D125" s="481"/>
      <c r="E125" s="25">
        <v>1901.07</v>
      </c>
      <c r="F125" s="25">
        <v>1970.41</v>
      </c>
      <c r="G125" s="25">
        <v>1970.41</v>
      </c>
      <c r="H125" s="323">
        <v>2088.87</v>
      </c>
      <c r="I125" s="25">
        <v>2088.87</v>
      </c>
      <c r="J125" s="25">
        <f>J39</f>
        <v>2317.11</v>
      </c>
    </row>
    <row r="126" spans="1:12" x14ac:dyDescent="0.25">
      <c r="A126" s="21" t="s">
        <v>1</v>
      </c>
      <c r="B126" s="481" t="s">
        <v>68</v>
      </c>
      <c r="C126" s="481"/>
      <c r="D126" s="481"/>
      <c r="E126" s="25">
        <v>1372.73</v>
      </c>
      <c r="F126" s="25">
        <v>1418.82</v>
      </c>
      <c r="G126" s="25">
        <v>1430.82</v>
      </c>
      <c r="H126" s="323">
        <v>1511.8</v>
      </c>
      <c r="I126" s="25">
        <v>1514.8</v>
      </c>
      <c r="J126" s="25">
        <f>J69</f>
        <v>1665.27</v>
      </c>
    </row>
    <row r="127" spans="1:12" x14ac:dyDescent="0.25">
      <c r="A127" s="21" t="s">
        <v>2</v>
      </c>
      <c r="B127" s="481" t="s">
        <v>84</v>
      </c>
      <c r="C127" s="481"/>
      <c r="D127" s="481"/>
      <c r="E127" s="25">
        <v>106.7</v>
      </c>
      <c r="F127" s="25">
        <v>110.59</v>
      </c>
      <c r="G127" s="25">
        <v>91.09</v>
      </c>
      <c r="H127" s="323">
        <v>96.56</v>
      </c>
      <c r="I127" s="25">
        <v>96.56</v>
      </c>
      <c r="J127" s="25">
        <f>J79</f>
        <v>107.11</v>
      </c>
    </row>
    <row r="128" spans="1:12" x14ac:dyDescent="0.25">
      <c r="A128" s="56" t="s">
        <v>3</v>
      </c>
      <c r="B128" s="481" t="s">
        <v>92</v>
      </c>
      <c r="C128" s="481"/>
      <c r="D128" s="481"/>
      <c r="E128" s="25">
        <v>308.14999999999998</v>
      </c>
      <c r="F128" s="25">
        <v>319.39</v>
      </c>
      <c r="G128" s="25">
        <v>319.39</v>
      </c>
      <c r="H128" s="323">
        <v>338.58</v>
      </c>
      <c r="I128" s="25">
        <v>338.58</v>
      </c>
      <c r="J128" s="25">
        <f>J104</f>
        <v>375.59</v>
      </c>
      <c r="L128" s="218"/>
    </row>
    <row r="129" spans="1:12" x14ac:dyDescent="0.25">
      <c r="A129" s="57" t="s">
        <v>4</v>
      </c>
      <c r="B129" s="481" t="s">
        <v>103</v>
      </c>
      <c r="C129" s="481"/>
      <c r="D129" s="481"/>
      <c r="E129" s="58">
        <v>34.69</v>
      </c>
      <c r="F129" s="58">
        <v>34.69</v>
      </c>
      <c r="G129" s="58">
        <v>34.69</v>
      </c>
      <c r="H129" s="331">
        <v>34.69</v>
      </c>
      <c r="I129" s="58">
        <v>34.69</v>
      </c>
      <c r="J129" s="58">
        <f>J111</f>
        <v>38.18</v>
      </c>
      <c r="L129" s="218"/>
    </row>
    <row r="130" spans="1:12" ht="13" x14ac:dyDescent="0.25">
      <c r="A130" s="59"/>
      <c r="B130" s="482" t="s">
        <v>112</v>
      </c>
      <c r="C130" s="482"/>
      <c r="D130" s="482"/>
      <c r="E130" s="60">
        <v>3723.34</v>
      </c>
      <c r="F130" s="60">
        <v>3853.9</v>
      </c>
      <c r="G130" s="60">
        <v>3846.4</v>
      </c>
      <c r="H130" s="60">
        <v>4070.5</v>
      </c>
      <c r="I130" s="60">
        <v>4073.5</v>
      </c>
      <c r="J130" s="60">
        <f>SUM(J125:J129)</f>
        <v>4503.26</v>
      </c>
    </row>
    <row r="131" spans="1:12" x14ac:dyDescent="0.25">
      <c r="A131" s="21" t="s">
        <v>5</v>
      </c>
      <c r="B131" s="481" t="s">
        <v>105</v>
      </c>
      <c r="C131" s="481"/>
      <c r="D131" s="481"/>
      <c r="E131" s="25">
        <v>404.69</v>
      </c>
      <c r="F131" s="25">
        <v>418.88000000000005</v>
      </c>
      <c r="G131" s="25">
        <v>418.06000000000006</v>
      </c>
      <c r="H131" s="323">
        <v>442.41999999999996</v>
      </c>
      <c r="I131" s="25">
        <v>442.77</v>
      </c>
      <c r="J131" s="25">
        <f>J121</f>
        <v>489.46</v>
      </c>
    </row>
    <row r="132" spans="1:12" ht="13" x14ac:dyDescent="0.25">
      <c r="A132" s="474" t="s">
        <v>113</v>
      </c>
      <c r="B132" s="474"/>
      <c r="C132" s="474"/>
      <c r="D132" s="474"/>
      <c r="E132" s="119">
        <v>4128.03</v>
      </c>
      <c r="F132" s="119">
        <v>4272.78</v>
      </c>
      <c r="G132" s="119">
        <v>4264.46</v>
      </c>
      <c r="H132" s="119">
        <v>4512.92</v>
      </c>
      <c r="I132" s="119">
        <v>4516.2700000000004</v>
      </c>
      <c r="J132" s="119">
        <f>SUM(J130:J131)</f>
        <v>4992.72</v>
      </c>
    </row>
    <row r="133" spans="1:12" ht="13" x14ac:dyDescent="0.25">
      <c r="A133" s="485" t="s">
        <v>140</v>
      </c>
      <c r="B133" s="485"/>
      <c r="C133" s="485"/>
      <c r="D133" s="485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ht="13" x14ac:dyDescent="0.25">
      <c r="A134" s="473" t="s">
        <v>141</v>
      </c>
      <c r="B134" s="473"/>
      <c r="C134" s="473"/>
      <c r="D134" s="473"/>
      <c r="E134" s="235">
        <v>8256.06</v>
      </c>
      <c r="F134" s="235">
        <v>8545.56</v>
      </c>
      <c r="G134" s="111">
        <v>8528.92</v>
      </c>
      <c r="H134" s="111">
        <v>9025.84</v>
      </c>
      <c r="I134" s="111">
        <f>(I132*I133)</f>
        <v>9032.5400000000009</v>
      </c>
      <c r="J134" s="111">
        <f>(J132*J133)</f>
        <v>9985.44</v>
      </c>
    </row>
  </sheetData>
  <mergeCells count="123">
    <mergeCell ref="L3:M3"/>
    <mergeCell ref="A134:D134"/>
    <mergeCell ref="A133:D133"/>
    <mergeCell ref="A97:D97"/>
    <mergeCell ref="B96:D96"/>
    <mergeCell ref="A95:D95"/>
    <mergeCell ref="B131:D131"/>
    <mergeCell ref="A132:D132"/>
    <mergeCell ref="B125:D125"/>
    <mergeCell ref="B126:D126"/>
    <mergeCell ref="B127:D127"/>
    <mergeCell ref="B128:D128"/>
    <mergeCell ref="B129:D129"/>
    <mergeCell ref="B130:D130"/>
    <mergeCell ref="B119:C119"/>
    <mergeCell ref="K119:L119"/>
    <mergeCell ref="B120:C120"/>
    <mergeCell ref="A121:C121"/>
    <mergeCell ref="A123:J123"/>
    <mergeCell ref="A124:D124"/>
    <mergeCell ref="B115:C115"/>
    <mergeCell ref="B117:C117"/>
    <mergeCell ref="B118:C118"/>
    <mergeCell ref="K118:L118"/>
    <mergeCell ref="B109:C109"/>
    <mergeCell ref="B110:C110"/>
    <mergeCell ref="A111:C111"/>
    <mergeCell ref="A113:J113"/>
    <mergeCell ref="B114:C114"/>
    <mergeCell ref="B102:D102"/>
    <mergeCell ref="B103:D103"/>
    <mergeCell ref="A104:D104"/>
    <mergeCell ref="A106:J106"/>
    <mergeCell ref="B107:C107"/>
    <mergeCell ref="B108:C108"/>
    <mergeCell ref="A89:C89"/>
    <mergeCell ref="A100:J100"/>
    <mergeCell ref="A101:D101"/>
    <mergeCell ref="A98:J98"/>
    <mergeCell ref="B82:C82"/>
    <mergeCell ref="B83:C83"/>
    <mergeCell ref="B84:C84"/>
    <mergeCell ref="B86:C86"/>
    <mergeCell ref="B87:C87"/>
    <mergeCell ref="B88:C88"/>
    <mergeCell ref="B85:C85"/>
    <mergeCell ref="A93:C93"/>
    <mergeCell ref="B92:C92"/>
    <mergeCell ref="A91:C91"/>
    <mergeCell ref="B75:C75"/>
    <mergeCell ref="B76:C76"/>
    <mergeCell ref="B77:C77"/>
    <mergeCell ref="B78:C78"/>
    <mergeCell ref="A79:C79"/>
    <mergeCell ref="A81:J81"/>
    <mergeCell ref="B68:D68"/>
    <mergeCell ref="A69:D69"/>
    <mergeCell ref="A71:J71"/>
    <mergeCell ref="B72:C72"/>
    <mergeCell ref="B73:C73"/>
    <mergeCell ref="B74:C74"/>
    <mergeCell ref="A62:C62"/>
    <mergeCell ref="A64:J64"/>
    <mergeCell ref="A65:D65"/>
    <mergeCell ref="B66:D66"/>
    <mergeCell ref="B67:D67"/>
    <mergeCell ref="A58:C58"/>
    <mergeCell ref="B59:C59"/>
    <mergeCell ref="B60:C60"/>
    <mergeCell ref="B61:C61"/>
    <mergeCell ref="B51:C51"/>
    <mergeCell ref="B52:C52"/>
    <mergeCell ref="B53:C53"/>
    <mergeCell ref="B54:C54"/>
    <mergeCell ref="B55:C55"/>
    <mergeCell ref="A56:C56"/>
    <mergeCell ref="B44:C44"/>
    <mergeCell ref="A45:C45"/>
    <mergeCell ref="A47:C47"/>
    <mergeCell ref="B48:C48"/>
    <mergeCell ref="B49:C49"/>
    <mergeCell ref="B50:C50"/>
    <mergeCell ref="B43:C43"/>
    <mergeCell ref="B31:C31"/>
    <mergeCell ref="B32:C32"/>
    <mergeCell ref="B33:C33"/>
    <mergeCell ref="B34:C34"/>
    <mergeCell ref="B35:C35"/>
    <mergeCell ref="B27:D27"/>
    <mergeCell ref="B28:D28"/>
    <mergeCell ref="B37:C37"/>
    <mergeCell ref="A39:D39"/>
    <mergeCell ref="A41:J41"/>
    <mergeCell ref="A42:C42"/>
    <mergeCell ref="B38:C38"/>
    <mergeCell ref="D16:J16"/>
    <mergeCell ref="A7:J7"/>
    <mergeCell ref="B36:C36"/>
    <mergeCell ref="B19:D19"/>
    <mergeCell ref="B20:D20"/>
    <mergeCell ref="B21:D21"/>
    <mergeCell ref="B22:D22"/>
    <mergeCell ref="B23:D23"/>
    <mergeCell ref="A30:J30"/>
    <mergeCell ref="B24:D24"/>
    <mergeCell ref="B25:D25"/>
    <mergeCell ref="B26:D26"/>
    <mergeCell ref="A14:J14"/>
    <mergeCell ref="A15:B15"/>
    <mergeCell ref="D15:J15"/>
    <mergeCell ref="A16:B16"/>
    <mergeCell ref="A1:J1"/>
    <mergeCell ref="A8:J8"/>
    <mergeCell ref="B9:D9"/>
    <mergeCell ref="B10:D10"/>
    <mergeCell ref="B11:D11"/>
    <mergeCell ref="B12:D12"/>
    <mergeCell ref="D4:J4"/>
    <mergeCell ref="D3:J3"/>
    <mergeCell ref="A4:C4"/>
    <mergeCell ref="A3:C3"/>
    <mergeCell ref="A5:J5"/>
    <mergeCell ref="A6:J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5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3">
    <tabColor theme="3"/>
  </sheetPr>
  <dimension ref="A1:P134"/>
  <sheetViews>
    <sheetView view="pageBreakPreview" topLeftCell="A10" zoomScaleNormal="100" zoomScaleSheetLayoutView="100" workbookViewId="0">
      <selection activeCell="J22" sqref="J22"/>
    </sheetView>
  </sheetViews>
  <sheetFormatPr defaultColWidth="9.1796875" defaultRowHeight="12.5" x14ac:dyDescent="0.25"/>
  <cols>
    <col min="1" max="1" width="7.1796875" style="9" customWidth="1"/>
    <col min="2" max="2" width="24.1796875" style="9" customWidth="1"/>
    <col min="3" max="3" width="34.81640625" style="9" customWidth="1"/>
    <col min="4" max="4" width="13.26953125" style="9" customWidth="1"/>
    <col min="5" max="6" width="19" style="9" hidden="1" customWidth="1"/>
    <col min="7" max="7" width="22.1796875" style="10" hidden="1" customWidth="1"/>
    <col min="8" max="8" width="22.1796875" style="322" hidden="1" customWidth="1"/>
    <col min="9" max="10" width="22.1796875" style="10" customWidth="1"/>
    <col min="11" max="11" width="21.453125" style="9" customWidth="1"/>
    <col min="12" max="12" width="33.453125" style="9" bestFit="1" customWidth="1"/>
    <col min="13" max="13" width="15.7265625" style="114" customWidth="1"/>
    <col min="14" max="14" width="17" style="9" customWidth="1"/>
    <col min="15" max="16384" width="9.1796875" style="9"/>
  </cols>
  <sheetData>
    <row r="1" spans="1:16" ht="13" x14ac:dyDescent="0.25">
      <c r="A1" s="493" t="s">
        <v>241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6" ht="13" x14ac:dyDescent="0.25">
      <c r="A2" s="115"/>
      <c r="B2" s="115"/>
      <c r="C2" s="115"/>
      <c r="D2" s="115"/>
      <c r="E2" s="228"/>
      <c r="F2" s="243"/>
      <c r="G2" s="305"/>
      <c r="H2" s="305"/>
      <c r="I2" s="318"/>
      <c r="J2" s="115"/>
      <c r="N2" s="123"/>
    </row>
    <row r="3" spans="1:16" ht="13" x14ac:dyDescent="0.25">
      <c r="A3" s="495" t="s">
        <v>242</v>
      </c>
      <c r="B3" s="496"/>
      <c r="C3" s="497"/>
      <c r="D3" s="498" t="s">
        <v>239</v>
      </c>
      <c r="E3" s="498"/>
      <c r="F3" s="498"/>
      <c r="G3" s="498"/>
      <c r="H3" s="498"/>
      <c r="I3" s="498"/>
      <c r="J3" s="498"/>
      <c r="L3" s="494"/>
      <c r="M3" s="494"/>
      <c r="N3" s="124"/>
    </row>
    <row r="4" spans="1:16" ht="13" x14ac:dyDescent="0.25">
      <c r="A4" s="495" t="s">
        <v>243</v>
      </c>
      <c r="B4" s="496"/>
      <c r="C4" s="497"/>
      <c r="D4" s="499" t="s">
        <v>240</v>
      </c>
      <c r="E4" s="499"/>
      <c r="F4" s="499"/>
      <c r="G4" s="499"/>
      <c r="H4" s="499"/>
      <c r="I4" s="499"/>
      <c r="J4" s="499"/>
      <c r="L4" s="185"/>
      <c r="M4" s="186"/>
    </row>
    <row r="5" spans="1:16" ht="13" x14ac:dyDescent="0.25">
      <c r="A5" s="495" t="s">
        <v>245</v>
      </c>
      <c r="B5" s="496"/>
      <c r="C5" s="496"/>
      <c r="D5" s="496"/>
      <c r="E5" s="496"/>
      <c r="F5" s="496"/>
      <c r="G5" s="496"/>
      <c r="H5" s="496"/>
      <c r="I5" s="496"/>
      <c r="J5" s="497"/>
      <c r="L5" s="185"/>
      <c r="M5" s="186"/>
      <c r="N5" s="124"/>
    </row>
    <row r="6" spans="1:16" ht="13" x14ac:dyDescent="0.25">
      <c r="A6" s="495" t="s">
        <v>244</v>
      </c>
      <c r="B6" s="496"/>
      <c r="C6" s="496"/>
      <c r="D6" s="496"/>
      <c r="E6" s="496"/>
      <c r="F6" s="496"/>
      <c r="G6" s="496"/>
      <c r="H6" s="496"/>
      <c r="I6" s="496"/>
      <c r="J6" s="497"/>
      <c r="L6" s="185"/>
      <c r="M6" s="211"/>
    </row>
    <row r="7" spans="1:16" x14ac:dyDescent="0.25">
      <c r="A7" s="500"/>
      <c r="B7" s="500"/>
      <c r="C7" s="500"/>
      <c r="D7" s="500"/>
      <c r="E7" s="500"/>
      <c r="F7" s="500"/>
      <c r="G7" s="500"/>
      <c r="H7" s="500"/>
      <c r="I7" s="500"/>
      <c r="J7" s="500"/>
      <c r="L7" s="185"/>
      <c r="M7" s="186"/>
      <c r="N7" s="10"/>
      <c r="P7" s="113"/>
    </row>
    <row r="8" spans="1:16" ht="12.75" customHeight="1" thickBot="1" x14ac:dyDescent="0.3">
      <c r="A8" s="486" t="s">
        <v>55</v>
      </c>
      <c r="B8" s="486"/>
      <c r="C8" s="486"/>
      <c r="D8" s="486"/>
      <c r="E8" s="486"/>
      <c r="F8" s="486"/>
      <c r="G8" s="486"/>
      <c r="H8" s="486"/>
      <c r="I8" s="486"/>
      <c r="J8" s="486"/>
      <c r="K8" s="11"/>
      <c r="L8" s="4"/>
      <c r="M8" s="62"/>
      <c r="N8" s="112"/>
      <c r="P8" s="113"/>
    </row>
    <row r="9" spans="1:16" ht="12.75" customHeight="1" thickTop="1" x14ac:dyDescent="0.25">
      <c r="A9" s="116" t="s">
        <v>0</v>
      </c>
      <c r="B9" s="481" t="s">
        <v>56</v>
      </c>
      <c r="C9" s="481"/>
      <c r="D9" s="481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ht="13" x14ac:dyDescent="0.25">
      <c r="A10" s="116" t="s">
        <v>1</v>
      </c>
      <c r="B10" s="481" t="s">
        <v>57</v>
      </c>
      <c r="C10" s="481"/>
      <c r="D10" s="481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3">
      <c r="A11" s="116" t="s">
        <v>2</v>
      </c>
      <c r="B11" s="481" t="s">
        <v>58</v>
      </c>
      <c r="C11" s="481"/>
      <c r="D11" s="481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3">
      <c r="A12" s="16" t="s">
        <v>3</v>
      </c>
      <c r="B12" s="481" t="s">
        <v>59</v>
      </c>
      <c r="C12" s="481"/>
      <c r="D12" s="481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5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5">
      <c r="A14" s="486" t="s">
        <v>21</v>
      </c>
      <c r="B14" s="486"/>
      <c r="C14" s="486"/>
      <c r="D14" s="486"/>
      <c r="E14" s="486"/>
      <c r="F14" s="486"/>
      <c r="G14" s="486"/>
      <c r="H14" s="486"/>
      <c r="I14" s="486"/>
      <c r="J14" s="486"/>
      <c r="K14" s="11"/>
      <c r="L14" s="5" t="s">
        <v>32</v>
      </c>
      <c r="M14" s="66">
        <v>4.8</v>
      </c>
    </row>
    <row r="15" spans="1:16" s="20" customFormat="1" ht="36.75" customHeight="1" x14ac:dyDescent="0.25">
      <c r="A15" s="485" t="s">
        <v>22</v>
      </c>
      <c r="B15" s="485"/>
      <c r="C15" s="116" t="s">
        <v>23</v>
      </c>
      <c r="D15" s="485" t="s">
        <v>61</v>
      </c>
      <c r="E15" s="485"/>
      <c r="F15" s="485"/>
      <c r="G15" s="485"/>
      <c r="H15" s="485"/>
      <c r="I15" s="485"/>
      <c r="J15" s="485"/>
      <c r="K15" s="11"/>
      <c r="L15" s="5" t="s">
        <v>33</v>
      </c>
      <c r="M15" s="64">
        <v>0.06</v>
      </c>
    </row>
    <row r="16" spans="1:16" ht="37.5" x14ac:dyDescent="0.25">
      <c r="A16" s="492" t="s">
        <v>145</v>
      </c>
      <c r="B16" s="492"/>
      <c r="C16" s="117" t="s">
        <v>191</v>
      </c>
      <c r="D16" s="492">
        <v>2</v>
      </c>
      <c r="E16" s="492"/>
      <c r="F16" s="492"/>
      <c r="G16" s="492"/>
      <c r="H16" s="492"/>
      <c r="I16" s="492"/>
      <c r="J16" s="492"/>
      <c r="K16" s="14"/>
      <c r="L16" s="5" t="s">
        <v>34</v>
      </c>
      <c r="M16" s="72">
        <v>15</v>
      </c>
    </row>
    <row r="17" spans="1:13" ht="13.5" thickBot="1" x14ac:dyDescent="0.3">
      <c r="L17" s="7" t="s">
        <v>35</v>
      </c>
      <c r="M17" s="67">
        <f>ROUND((M13*M14*M16)-(M15*J32),2)</f>
        <v>38.14</v>
      </c>
    </row>
    <row r="18" spans="1:13" ht="29.25" customHeight="1" thickTop="1" thickBot="1" x14ac:dyDescent="0.3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5">
      <c r="A19" s="22">
        <v>1</v>
      </c>
      <c r="B19" s="491" t="s">
        <v>7</v>
      </c>
      <c r="C19" s="491"/>
      <c r="D19" s="491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ht="13" x14ac:dyDescent="0.25">
      <c r="A20" s="24">
        <v>2</v>
      </c>
      <c r="B20" s="481" t="s">
        <v>63</v>
      </c>
      <c r="C20" s="481"/>
      <c r="D20" s="481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15</v>
      </c>
    </row>
    <row r="21" spans="1:13" ht="13" x14ac:dyDescent="0.25">
      <c r="A21" s="22">
        <v>3</v>
      </c>
      <c r="B21" s="481" t="s">
        <v>64</v>
      </c>
      <c r="C21" s="481"/>
      <c r="D21" s="481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358.95</v>
      </c>
    </row>
    <row r="22" spans="1:13" ht="13" x14ac:dyDescent="0.25">
      <c r="A22" s="24">
        <v>4</v>
      </c>
      <c r="B22" s="481" t="s">
        <v>8</v>
      </c>
      <c r="C22" s="481"/>
      <c r="D22" s="481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71.790000000000006</v>
      </c>
    </row>
    <row r="23" spans="1:13" ht="13.5" thickBot="1" x14ac:dyDescent="0.3">
      <c r="A23" s="22">
        <v>5</v>
      </c>
      <c r="B23" s="481" t="s">
        <v>9</v>
      </c>
      <c r="C23" s="481"/>
      <c r="D23" s="481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287.15999999999997</v>
      </c>
    </row>
    <row r="24" spans="1:13" ht="13.5" thickTop="1" x14ac:dyDescent="0.25">
      <c r="A24" s="24">
        <v>6</v>
      </c>
      <c r="B24" s="491" t="s">
        <v>248</v>
      </c>
      <c r="C24" s="491"/>
      <c r="D24" s="491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ht="13" x14ac:dyDescent="0.25">
      <c r="A25" s="22">
        <v>7</v>
      </c>
      <c r="B25" s="481" t="s">
        <v>249</v>
      </c>
      <c r="C25" s="481"/>
      <c r="D25" s="481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ht="13" x14ac:dyDescent="0.25">
      <c r="A26" s="24">
        <v>8</v>
      </c>
      <c r="B26" s="481" t="s">
        <v>250</v>
      </c>
      <c r="C26" s="481"/>
      <c r="D26" s="481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ht="13" x14ac:dyDescent="0.25">
      <c r="A27" s="22">
        <v>9</v>
      </c>
      <c r="B27" s="481" t="s">
        <v>251</v>
      </c>
      <c r="C27" s="481"/>
      <c r="D27" s="481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ht="13" x14ac:dyDescent="0.25">
      <c r="A28" s="24">
        <v>10</v>
      </c>
      <c r="B28" s="481" t="s">
        <v>252</v>
      </c>
      <c r="C28" s="481"/>
      <c r="D28" s="481"/>
      <c r="E28" s="188">
        <v>2</v>
      </c>
      <c r="F28" s="188">
        <v>2</v>
      </c>
      <c r="G28" s="188">
        <v>2</v>
      </c>
      <c r="H28" s="327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5">
      <c r="G29" s="169"/>
      <c r="H29" s="328"/>
      <c r="I29" s="169"/>
      <c r="J29" s="169"/>
      <c r="K29" s="233"/>
      <c r="L29" s="185"/>
      <c r="M29" s="207"/>
    </row>
    <row r="30" spans="1:13" ht="13" x14ac:dyDescent="0.25">
      <c r="A30" s="478" t="s">
        <v>65</v>
      </c>
      <c r="B30" s="479"/>
      <c r="C30" s="479"/>
      <c r="D30" s="479"/>
      <c r="E30" s="479"/>
      <c r="F30" s="479"/>
      <c r="G30" s="479"/>
      <c r="H30" s="479"/>
      <c r="I30" s="479"/>
      <c r="J30" s="480"/>
      <c r="L30" s="185"/>
      <c r="M30" s="207"/>
    </row>
    <row r="31" spans="1:13" ht="13" x14ac:dyDescent="0.25">
      <c r="A31" s="29">
        <v>1</v>
      </c>
      <c r="B31" s="478" t="s">
        <v>66</v>
      </c>
      <c r="C31" s="480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ht="13" x14ac:dyDescent="0.25">
      <c r="A32" s="32" t="s">
        <v>0</v>
      </c>
      <c r="B32" s="471" t="s">
        <v>24</v>
      </c>
      <c r="C32" s="472"/>
      <c r="D32" s="33"/>
      <c r="E32" s="34">
        <v>1447.6</v>
      </c>
      <c r="F32" s="329">
        <v>1500.4</v>
      </c>
      <c r="G32" s="329">
        <v>1500.4</v>
      </c>
      <c r="H32" s="329">
        <v>1590.6</v>
      </c>
      <c r="I32" s="329">
        <v>1590.6</v>
      </c>
      <c r="J32" s="344">
        <f>J21</f>
        <v>1764.4</v>
      </c>
      <c r="L32" s="185"/>
      <c r="M32" s="212"/>
    </row>
    <row r="33" spans="1:14" ht="28.5" customHeight="1" x14ac:dyDescent="0.25">
      <c r="A33" s="32" t="s">
        <v>1</v>
      </c>
      <c r="B33" s="471" t="s">
        <v>304</v>
      </c>
      <c r="C33" s="472"/>
      <c r="D33" s="120">
        <v>0.3</v>
      </c>
      <c r="E33" s="34">
        <v>434.28</v>
      </c>
      <c r="F33" s="34">
        <v>450.12</v>
      </c>
      <c r="G33" s="34">
        <v>450.12</v>
      </c>
      <c r="H33" s="329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5">
      <c r="A34" s="32" t="s">
        <v>2</v>
      </c>
      <c r="B34" s="471" t="s">
        <v>305</v>
      </c>
      <c r="C34" s="472"/>
      <c r="D34" s="33"/>
      <c r="E34" s="34">
        <v>16.45</v>
      </c>
      <c r="F34" s="34">
        <v>17.05</v>
      </c>
      <c r="G34" s="34">
        <v>17.05</v>
      </c>
      <c r="H34" s="329">
        <v>18.079999999999998</v>
      </c>
      <c r="I34" s="34">
        <v>18.079999999999998</v>
      </c>
      <c r="J34" s="34">
        <f>ROUND((J32/220)/6*15,2)</f>
        <v>20.05</v>
      </c>
      <c r="L34" s="170"/>
      <c r="M34" s="170"/>
      <c r="N34" s="170"/>
    </row>
    <row r="35" spans="1:14" ht="42" customHeight="1" x14ac:dyDescent="0.25">
      <c r="A35" s="32" t="s">
        <v>3</v>
      </c>
      <c r="B35" s="471" t="s">
        <v>306</v>
      </c>
      <c r="C35" s="472"/>
      <c r="D35" s="33"/>
      <c r="E35" s="34">
        <v>179.63</v>
      </c>
      <c r="F35" s="34">
        <v>186.19</v>
      </c>
      <c r="G35" s="34">
        <v>186.19</v>
      </c>
      <c r="H35" s="329">
        <v>197.38</v>
      </c>
      <c r="I35" s="34">
        <v>197.38</v>
      </c>
      <c r="J35" s="34">
        <f>ROUND(((J32+J33)/220)*105*0.2,2)</f>
        <v>218.95</v>
      </c>
      <c r="K35" s="169"/>
      <c r="L35" s="170"/>
      <c r="M35" s="170"/>
    </row>
    <row r="36" spans="1:14" ht="56.25" customHeight="1" x14ac:dyDescent="0.25">
      <c r="A36" s="32" t="s">
        <v>4</v>
      </c>
      <c r="B36" s="471" t="s">
        <v>307</v>
      </c>
      <c r="C36" s="472"/>
      <c r="D36" s="33"/>
      <c r="E36" s="34">
        <v>230.96</v>
      </c>
      <c r="F36" s="34">
        <v>239.38</v>
      </c>
      <c r="G36" s="34">
        <v>239.38</v>
      </c>
      <c r="H36" s="329">
        <v>253.77</v>
      </c>
      <c r="I36" s="34">
        <v>253.77</v>
      </c>
      <c r="J36" s="34">
        <f>ROUND(((J32+J33)/220)*(105/52.5*7.5)*1.5*1.2,2)</f>
        <v>281.5</v>
      </c>
    </row>
    <row r="37" spans="1:14" ht="13" x14ac:dyDescent="0.25">
      <c r="A37" s="32" t="s">
        <v>5</v>
      </c>
      <c r="B37" s="471" t="s">
        <v>50</v>
      </c>
      <c r="C37" s="472"/>
      <c r="D37" s="33"/>
      <c r="E37" s="34">
        <v>71.19</v>
      </c>
      <c r="F37" s="34">
        <v>73.78</v>
      </c>
      <c r="G37" s="34">
        <v>73.78</v>
      </c>
      <c r="H37" s="329">
        <v>78.22</v>
      </c>
      <c r="I37" s="34">
        <v>78.22</v>
      </c>
      <c r="J37" s="34">
        <f>ROUND((J34+J35+J36)*16.67%,2)</f>
        <v>86.77</v>
      </c>
      <c r="K37" s="170">
        <f>ROUND((J34)*16.67%,2)</f>
        <v>3.34</v>
      </c>
      <c r="M37" s="9"/>
    </row>
    <row r="38" spans="1:14" ht="13" x14ac:dyDescent="0.25">
      <c r="A38" s="32" t="s">
        <v>6</v>
      </c>
      <c r="B38" s="471" t="s">
        <v>216</v>
      </c>
      <c r="C38" s="472"/>
      <c r="D38" s="33"/>
      <c r="E38" s="34">
        <v>0</v>
      </c>
      <c r="F38" s="34">
        <v>0</v>
      </c>
      <c r="G38" s="34">
        <v>0</v>
      </c>
      <c r="H38" s="329">
        <v>0</v>
      </c>
      <c r="I38" s="34">
        <v>0</v>
      </c>
      <c r="J38" s="34">
        <v>0</v>
      </c>
      <c r="M38" s="9"/>
    </row>
    <row r="39" spans="1:14" ht="13" x14ac:dyDescent="0.25">
      <c r="A39" s="475" t="s">
        <v>157</v>
      </c>
      <c r="B39" s="476"/>
      <c r="C39" s="476"/>
      <c r="D39" s="477"/>
      <c r="E39" s="35">
        <v>2380.11</v>
      </c>
      <c r="F39" s="31">
        <v>2466.92</v>
      </c>
      <c r="G39" s="35">
        <v>2466.92</v>
      </c>
      <c r="H39" s="35">
        <v>2615.23</v>
      </c>
      <c r="I39" s="35">
        <f>ROUND(SUM(I32:I38),2)</f>
        <v>2615.23</v>
      </c>
      <c r="J39" s="35">
        <f>ROUND(SUM(J32:J38),2)</f>
        <v>2900.99</v>
      </c>
      <c r="K39" s="35">
        <f>ROUND(SUM(J32:J38),2)-J34-K37</f>
        <v>2877.5999999999995</v>
      </c>
      <c r="M39" s="9"/>
    </row>
    <row r="40" spans="1:14" x14ac:dyDescent="0.25">
      <c r="M40" s="9"/>
    </row>
    <row r="41" spans="1:14" ht="13" x14ac:dyDescent="0.25">
      <c r="A41" s="478" t="s">
        <v>68</v>
      </c>
      <c r="B41" s="479"/>
      <c r="C41" s="479"/>
      <c r="D41" s="479"/>
      <c r="E41" s="479"/>
      <c r="F41" s="479"/>
      <c r="G41" s="479"/>
      <c r="H41" s="479"/>
      <c r="I41" s="479"/>
      <c r="J41" s="480"/>
      <c r="M41" s="9"/>
    </row>
    <row r="42" spans="1:14" ht="13" x14ac:dyDescent="0.25">
      <c r="A42" s="478" t="s">
        <v>69</v>
      </c>
      <c r="B42" s="479"/>
      <c r="C42" s="480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ht="13" x14ac:dyDescent="0.25">
      <c r="A43" s="32" t="s">
        <v>0</v>
      </c>
      <c r="B43" s="471" t="s">
        <v>70</v>
      </c>
      <c r="C43" s="472"/>
      <c r="D43" s="36">
        <f>'Encargos Sociais'!C5</f>
        <v>8.3299999999999999E-2</v>
      </c>
      <c r="E43" s="34">
        <v>196.66</v>
      </c>
      <c r="F43" s="34">
        <v>203.84</v>
      </c>
      <c r="G43" s="34">
        <v>203.84</v>
      </c>
      <c r="H43" s="329">
        <v>216.09</v>
      </c>
      <c r="I43" s="34">
        <v>216.09</v>
      </c>
      <c r="J43" s="34">
        <f>ROUND(D43*$K$39,2)</f>
        <v>239.7</v>
      </c>
    </row>
    <row r="44" spans="1:14" ht="13" x14ac:dyDescent="0.25">
      <c r="A44" s="32" t="s">
        <v>1</v>
      </c>
      <c r="B44" s="471" t="s">
        <v>49</v>
      </c>
      <c r="C44" s="472"/>
      <c r="D44" s="36">
        <f>'Encargos Sociais'!C11</f>
        <v>0.121</v>
      </c>
      <c r="E44" s="34">
        <v>285.67</v>
      </c>
      <c r="F44" s="34">
        <v>296.08999999999997</v>
      </c>
      <c r="G44" s="34">
        <v>296.08999999999997</v>
      </c>
      <c r="H44" s="329">
        <v>313.89</v>
      </c>
      <c r="I44" s="34">
        <v>313.89</v>
      </c>
      <c r="J44" s="34">
        <f>ROUND(D44*$K$39,2)</f>
        <v>348.19</v>
      </c>
      <c r="M44" s="9"/>
    </row>
    <row r="45" spans="1:14" ht="12.75" customHeight="1" x14ac:dyDescent="0.25">
      <c r="A45" s="475" t="s">
        <v>156</v>
      </c>
      <c r="B45" s="476"/>
      <c r="C45" s="477"/>
      <c r="D45" s="37">
        <f>SUM(D43:D44)</f>
        <v>0.20429999999999998</v>
      </c>
      <c r="E45" s="35">
        <v>482.33</v>
      </c>
      <c r="F45" s="35">
        <v>499.93</v>
      </c>
      <c r="G45" s="35">
        <v>499.93</v>
      </c>
      <c r="H45" s="35">
        <v>529.98</v>
      </c>
      <c r="I45" s="35">
        <f>ROUND(SUM(I43:I44),2)</f>
        <v>529.98</v>
      </c>
      <c r="J45" s="35">
        <f>ROUND(SUM(J43:J44),2)</f>
        <v>587.89</v>
      </c>
      <c r="M45" s="9"/>
    </row>
    <row r="46" spans="1:14" x14ac:dyDescent="0.25">
      <c r="M46" s="9"/>
    </row>
    <row r="47" spans="1:14" ht="12.75" customHeight="1" x14ac:dyDescent="0.25">
      <c r="A47" s="478" t="s">
        <v>71</v>
      </c>
      <c r="B47" s="479"/>
      <c r="C47" s="480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ht="13" x14ac:dyDescent="0.25">
      <c r="A48" s="32" t="s">
        <v>0</v>
      </c>
      <c r="B48" s="489" t="s">
        <v>16</v>
      </c>
      <c r="C48" s="490"/>
      <c r="D48" s="36">
        <f>'Encargos Sociais'!C16</f>
        <v>0.2</v>
      </c>
      <c r="E48" s="34">
        <v>472.18</v>
      </c>
      <c r="F48" s="34">
        <v>489.41</v>
      </c>
      <c r="G48" s="34">
        <v>489.41</v>
      </c>
      <c r="H48" s="329">
        <v>518.83000000000004</v>
      </c>
      <c r="I48" s="34">
        <v>518.83000000000004</v>
      </c>
      <c r="J48" s="34">
        <f t="shared" ref="J48:J55" si="0">ROUND(D48*($K$39),2)</f>
        <v>575.52</v>
      </c>
      <c r="M48" s="9"/>
    </row>
    <row r="49" spans="1:13" ht="13" x14ac:dyDescent="0.25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59.02</v>
      </c>
      <c r="F49" s="34">
        <v>61.18</v>
      </c>
      <c r="G49" s="34">
        <v>61.18</v>
      </c>
      <c r="H49" s="329">
        <v>64.849999999999994</v>
      </c>
      <c r="I49" s="34">
        <v>64.849999999999994</v>
      </c>
      <c r="J49" s="34">
        <f t="shared" si="0"/>
        <v>71.94</v>
      </c>
    </row>
    <row r="50" spans="1:13" ht="13" x14ac:dyDescent="0.25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96.33</v>
      </c>
      <c r="F50" s="34">
        <v>99.84</v>
      </c>
      <c r="G50" s="34">
        <v>99.84</v>
      </c>
      <c r="H50" s="329">
        <v>105.84</v>
      </c>
      <c r="I50" s="34">
        <v>105.84</v>
      </c>
      <c r="J50" s="34">
        <f t="shared" si="0"/>
        <v>117.41</v>
      </c>
    </row>
    <row r="51" spans="1:13" ht="13" x14ac:dyDescent="0.25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35.409999999999997</v>
      </c>
      <c r="F51" s="34">
        <v>36.71</v>
      </c>
      <c r="G51" s="34">
        <v>36.71</v>
      </c>
      <c r="H51" s="329">
        <v>38.909999999999997</v>
      </c>
      <c r="I51" s="34">
        <v>38.909999999999997</v>
      </c>
      <c r="J51" s="34">
        <f t="shared" si="0"/>
        <v>43.16</v>
      </c>
    </row>
    <row r="52" spans="1:13" ht="13" x14ac:dyDescent="0.25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23.61</v>
      </c>
      <c r="F52" s="34">
        <v>24.47</v>
      </c>
      <c r="G52" s="34">
        <v>24.47</v>
      </c>
      <c r="H52" s="329">
        <v>25.94</v>
      </c>
      <c r="I52" s="34">
        <v>25.94</v>
      </c>
      <c r="J52" s="34">
        <f t="shared" si="0"/>
        <v>28.78</v>
      </c>
    </row>
    <row r="53" spans="1:13" ht="13" x14ac:dyDescent="0.25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14.17</v>
      </c>
      <c r="F53" s="34">
        <v>14.68</v>
      </c>
      <c r="G53" s="34">
        <v>14.68</v>
      </c>
      <c r="H53" s="329">
        <v>15.56</v>
      </c>
      <c r="I53" s="34">
        <v>15.56</v>
      </c>
      <c r="J53" s="34">
        <f t="shared" si="0"/>
        <v>17.27</v>
      </c>
    </row>
    <row r="54" spans="1:13" ht="13" x14ac:dyDescent="0.25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4.72</v>
      </c>
      <c r="F54" s="34">
        <v>4.8899999999999997</v>
      </c>
      <c r="G54" s="34">
        <v>4.8899999999999997</v>
      </c>
      <c r="H54" s="329">
        <v>5.19</v>
      </c>
      <c r="I54" s="34">
        <v>5.19</v>
      </c>
      <c r="J54" s="34">
        <f t="shared" si="0"/>
        <v>5.76</v>
      </c>
    </row>
    <row r="55" spans="1:13" ht="13" x14ac:dyDescent="0.25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188.87</v>
      </c>
      <c r="F55" s="34">
        <v>195.76</v>
      </c>
      <c r="G55" s="34">
        <v>195.76</v>
      </c>
      <c r="H55" s="329">
        <v>207.53</v>
      </c>
      <c r="I55" s="34">
        <v>207.53</v>
      </c>
      <c r="J55" s="34">
        <f t="shared" si="0"/>
        <v>230.21</v>
      </c>
    </row>
    <row r="56" spans="1:13" ht="12.75" customHeight="1" x14ac:dyDescent="0.25">
      <c r="A56" s="475" t="s">
        <v>156</v>
      </c>
      <c r="B56" s="476"/>
      <c r="C56" s="477"/>
      <c r="D56" s="37">
        <f>SUM(D48:D55)</f>
        <v>0.37880000000000008</v>
      </c>
      <c r="E56" s="35">
        <v>894.31</v>
      </c>
      <c r="F56" s="35">
        <v>926.94</v>
      </c>
      <c r="G56" s="35">
        <v>926.94</v>
      </c>
      <c r="H56" s="35">
        <v>982.65</v>
      </c>
      <c r="I56" s="35">
        <f>ROUND(SUM(I48:I55),2)</f>
        <v>982.65</v>
      </c>
      <c r="J56" s="35">
        <f>ROUND(SUM(J48:J55),2)</f>
        <v>1090.05</v>
      </c>
      <c r="K56" s="210"/>
      <c r="L56" s="20"/>
    </row>
    <row r="58" spans="1:13" ht="12.75" customHeight="1" x14ac:dyDescent="0.25">
      <c r="A58" s="478" t="s">
        <v>75</v>
      </c>
      <c r="B58" s="479"/>
      <c r="C58" s="480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5">
      <c r="A59" s="32" t="s">
        <v>0</v>
      </c>
      <c r="B59" s="471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72"/>
      <c r="D59" s="38" t="s">
        <v>76</v>
      </c>
      <c r="E59" s="34">
        <v>42.14</v>
      </c>
      <c r="F59" s="34">
        <v>38.979999999999997</v>
      </c>
      <c r="G59" s="34">
        <v>50.98</v>
      </c>
      <c r="H59" s="329">
        <v>45.56</v>
      </c>
      <c r="I59" s="34">
        <v>48.56</v>
      </c>
      <c r="J59" s="34">
        <f>IF(M17&lt;=0,0,IF(M17&gt;0,M17))</f>
        <v>38.14</v>
      </c>
      <c r="K59" s="39"/>
      <c r="L59" s="40"/>
    </row>
    <row r="60" spans="1:13" ht="54" customHeight="1" x14ac:dyDescent="0.25">
      <c r="A60" s="32" t="s">
        <v>1</v>
      </c>
      <c r="B60" s="471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15 Dias Trabalhados) - (20% do desconto legal) ]</v>
      </c>
      <c r="C60" s="472"/>
      <c r="D60" s="38" t="s">
        <v>76</v>
      </c>
      <c r="E60" s="34">
        <v>230.76</v>
      </c>
      <c r="F60" s="329">
        <v>240</v>
      </c>
      <c r="G60" s="329">
        <v>240</v>
      </c>
      <c r="H60" s="329">
        <v>258</v>
      </c>
      <c r="I60" s="329">
        <v>258</v>
      </c>
      <c r="J60" s="344">
        <f>M23</f>
        <v>287.15999999999997</v>
      </c>
      <c r="K60" s="39"/>
      <c r="L60" s="40"/>
      <c r="M60" s="41"/>
    </row>
    <row r="61" spans="1:13" ht="13" x14ac:dyDescent="0.25">
      <c r="A61" s="32" t="s">
        <v>2</v>
      </c>
      <c r="B61" s="471" t="s">
        <v>314</v>
      </c>
      <c r="C61" s="472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5">
      <c r="A62" s="475" t="s">
        <v>156</v>
      </c>
      <c r="B62" s="476"/>
      <c r="C62" s="477"/>
      <c r="D62" s="42"/>
      <c r="E62" s="35">
        <v>275.39999999999998</v>
      </c>
      <c r="F62" s="35">
        <v>281.48</v>
      </c>
      <c r="G62" s="35">
        <v>293.48</v>
      </c>
      <c r="H62" s="35">
        <v>306.06</v>
      </c>
      <c r="I62" s="35">
        <f>ROUND(SUM(I59:I61),2)</f>
        <v>309.06</v>
      </c>
      <c r="J62" s="35">
        <f>ROUND(SUM(J59:J61),2)</f>
        <v>327.8</v>
      </c>
    </row>
    <row r="64" spans="1:13" ht="12.75" customHeight="1" x14ac:dyDescent="0.25">
      <c r="A64" s="486" t="s">
        <v>77</v>
      </c>
      <c r="B64" s="486"/>
      <c r="C64" s="486"/>
      <c r="D64" s="486"/>
      <c r="E64" s="486"/>
      <c r="F64" s="486"/>
      <c r="G64" s="486"/>
      <c r="H64" s="486"/>
      <c r="I64" s="486"/>
      <c r="J64" s="486"/>
    </row>
    <row r="65" spans="1:10" ht="12.75" customHeight="1" x14ac:dyDescent="0.25">
      <c r="A65" s="486" t="s">
        <v>78</v>
      </c>
      <c r="B65" s="486"/>
      <c r="C65" s="486"/>
      <c r="D65" s="486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ht="13" x14ac:dyDescent="0.25">
      <c r="A66" s="116" t="s">
        <v>79</v>
      </c>
      <c r="B66" s="481" t="s">
        <v>80</v>
      </c>
      <c r="C66" s="481"/>
      <c r="D66" s="481"/>
      <c r="E66" s="230">
        <v>482.33</v>
      </c>
      <c r="F66" s="25">
        <v>499.93</v>
      </c>
      <c r="G66" s="25">
        <v>499.93</v>
      </c>
      <c r="H66" s="323">
        <v>529.98</v>
      </c>
      <c r="I66" s="25">
        <v>529.98</v>
      </c>
      <c r="J66" s="25">
        <f>J45</f>
        <v>587.89</v>
      </c>
    </row>
    <row r="67" spans="1:10" ht="13" x14ac:dyDescent="0.25">
      <c r="A67" s="116" t="s">
        <v>81</v>
      </c>
      <c r="B67" s="481" t="s">
        <v>82</v>
      </c>
      <c r="C67" s="481"/>
      <c r="D67" s="481"/>
      <c r="E67" s="230">
        <v>894.31</v>
      </c>
      <c r="F67" s="25">
        <v>926.94</v>
      </c>
      <c r="G67" s="25">
        <v>926.94</v>
      </c>
      <c r="H67" s="323">
        <v>982.65</v>
      </c>
      <c r="I67" s="25">
        <v>982.65</v>
      </c>
      <c r="J67" s="25">
        <f>J56</f>
        <v>1090.05</v>
      </c>
    </row>
    <row r="68" spans="1:10" ht="13" x14ac:dyDescent="0.25">
      <c r="A68" s="116" t="s">
        <v>83</v>
      </c>
      <c r="B68" s="481" t="s">
        <v>25</v>
      </c>
      <c r="C68" s="481"/>
      <c r="D68" s="481"/>
      <c r="E68" s="230">
        <v>275.39999999999998</v>
      </c>
      <c r="F68" s="25">
        <v>281.48</v>
      </c>
      <c r="G68" s="25">
        <v>293.48</v>
      </c>
      <c r="H68" s="323">
        <v>306.06</v>
      </c>
      <c r="I68" s="25">
        <v>309.06</v>
      </c>
      <c r="J68" s="25">
        <f>J62</f>
        <v>327.8</v>
      </c>
    </row>
    <row r="69" spans="1:10" ht="12.75" customHeight="1" x14ac:dyDescent="0.25">
      <c r="A69" s="474" t="s">
        <v>156</v>
      </c>
      <c r="B69" s="474"/>
      <c r="C69" s="474"/>
      <c r="D69" s="474"/>
      <c r="E69" s="241">
        <v>1652.04</v>
      </c>
      <c r="F69" s="128">
        <v>1708.35</v>
      </c>
      <c r="G69" s="35">
        <v>1720.35</v>
      </c>
      <c r="H69" s="35">
        <v>1818.69</v>
      </c>
      <c r="I69" s="35">
        <f>ROUND(SUM(I66:I68),2)</f>
        <v>1821.69</v>
      </c>
      <c r="J69" s="35">
        <f>ROUND(SUM(J66:J68),2)</f>
        <v>2005.74</v>
      </c>
    </row>
    <row r="71" spans="1:10" ht="13" x14ac:dyDescent="0.25">
      <c r="A71" s="478" t="s">
        <v>84</v>
      </c>
      <c r="B71" s="479"/>
      <c r="C71" s="479"/>
      <c r="D71" s="479"/>
      <c r="E71" s="479"/>
      <c r="F71" s="479"/>
      <c r="G71" s="479"/>
      <c r="H71" s="479"/>
      <c r="I71" s="479"/>
      <c r="J71" s="480"/>
    </row>
    <row r="72" spans="1:10" ht="13" x14ac:dyDescent="0.25">
      <c r="A72" s="29">
        <v>3</v>
      </c>
      <c r="B72" s="478" t="s">
        <v>85</v>
      </c>
      <c r="C72" s="480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ht="13" x14ac:dyDescent="0.25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9.92</v>
      </c>
      <c r="F73" s="34">
        <v>10.28</v>
      </c>
      <c r="G73" s="34">
        <v>10.28</v>
      </c>
      <c r="H73" s="329">
        <v>10.9</v>
      </c>
      <c r="I73" s="34">
        <v>10.9</v>
      </c>
      <c r="J73" s="34">
        <f t="shared" ref="J73:J78" si="1">ROUND(D73*$K$39,2)</f>
        <v>12.09</v>
      </c>
    </row>
    <row r="74" spans="1:10" ht="13" x14ac:dyDescent="0.25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0.71</v>
      </c>
      <c r="F74" s="34">
        <v>0.73</v>
      </c>
      <c r="G74" s="34">
        <v>0.73</v>
      </c>
      <c r="H74" s="329">
        <v>0.78</v>
      </c>
      <c r="I74" s="34">
        <v>0.78</v>
      </c>
      <c r="J74" s="34">
        <f t="shared" si="1"/>
        <v>0.86</v>
      </c>
    </row>
    <row r="75" spans="1:10" ht="25.5" customHeight="1" x14ac:dyDescent="0.25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5.67</v>
      </c>
      <c r="F75" s="34">
        <v>5.87</v>
      </c>
      <c r="G75" s="34">
        <v>4.7</v>
      </c>
      <c r="H75" s="329">
        <v>4.9800000000000004</v>
      </c>
      <c r="I75" s="34">
        <v>4.9800000000000004</v>
      </c>
      <c r="J75" s="34">
        <f t="shared" si="1"/>
        <v>5.52</v>
      </c>
    </row>
    <row r="76" spans="1:10" ht="13" x14ac:dyDescent="0.25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3.78</v>
      </c>
      <c r="F76" s="34">
        <v>3.92</v>
      </c>
      <c r="G76" s="34">
        <v>3.92</v>
      </c>
      <c r="H76" s="329">
        <v>4.1500000000000004</v>
      </c>
      <c r="I76" s="34">
        <v>4.1500000000000004</v>
      </c>
      <c r="J76" s="34">
        <f t="shared" si="1"/>
        <v>4.5999999999999996</v>
      </c>
    </row>
    <row r="77" spans="1:10" ht="25.5" customHeight="1" x14ac:dyDescent="0.25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1.42</v>
      </c>
      <c r="F77" s="34">
        <v>1.47</v>
      </c>
      <c r="G77" s="34">
        <v>1.47</v>
      </c>
      <c r="H77" s="329">
        <v>1.56</v>
      </c>
      <c r="I77" s="34">
        <v>1.56</v>
      </c>
      <c r="J77" s="34">
        <f t="shared" si="1"/>
        <v>1.73</v>
      </c>
    </row>
    <row r="78" spans="1:10" ht="25.5" customHeight="1" x14ac:dyDescent="0.25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112.38</v>
      </c>
      <c r="F78" s="34">
        <v>116.48</v>
      </c>
      <c r="G78" s="34">
        <v>93.18</v>
      </c>
      <c r="H78" s="329">
        <v>98.78</v>
      </c>
      <c r="I78" s="34">
        <v>98.78</v>
      </c>
      <c r="J78" s="34">
        <f t="shared" si="1"/>
        <v>109.58</v>
      </c>
    </row>
    <row r="79" spans="1:10" ht="12.75" customHeight="1" x14ac:dyDescent="0.25">
      <c r="A79" s="475" t="s">
        <v>156</v>
      </c>
      <c r="B79" s="476"/>
      <c r="C79" s="477"/>
      <c r="D79" s="37">
        <f>SUM(D73:D78)</f>
        <v>4.6699999999999992E-2</v>
      </c>
      <c r="E79" s="31">
        <v>133.88</v>
      </c>
      <c r="F79" s="35">
        <v>138.75</v>
      </c>
      <c r="G79" s="35">
        <v>114.28</v>
      </c>
      <c r="H79" s="35">
        <v>121.15</v>
      </c>
      <c r="I79" s="35">
        <f>ROUND(SUM(I73:I78),2)</f>
        <v>121.15</v>
      </c>
      <c r="J79" s="35">
        <f>ROUND(SUM(J73:J78),2)</f>
        <v>134.38</v>
      </c>
    </row>
    <row r="81" spans="1:13" ht="13" x14ac:dyDescent="0.25">
      <c r="A81" s="478" t="s">
        <v>92</v>
      </c>
      <c r="B81" s="479"/>
      <c r="C81" s="479"/>
      <c r="D81" s="479"/>
      <c r="E81" s="479"/>
      <c r="F81" s="479"/>
      <c r="G81" s="479"/>
      <c r="H81" s="479"/>
      <c r="I81" s="479"/>
      <c r="J81" s="480"/>
    </row>
    <row r="82" spans="1:13" ht="13" x14ac:dyDescent="0.25">
      <c r="A82" s="46"/>
      <c r="B82" s="478" t="s">
        <v>93</v>
      </c>
      <c r="C82" s="480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3" ht="13" x14ac:dyDescent="0.25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23.85</v>
      </c>
      <c r="F83" s="34">
        <v>24.72</v>
      </c>
      <c r="G83" s="34">
        <v>24.72</v>
      </c>
      <c r="H83" s="329">
        <v>26.2</v>
      </c>
      <c r="I83" s="34">
        <v>26.2</v>
      </c>
      <c r="J83" s="34">
        <f t="shared" ref="J83:J88" si="2">ROUND(D83*$K$39,2)</f>
        <v>29.06</v>
      </c>
    </row>
    <row r="84" spans="1:13" ht="13" x14ac:dyDescent="0.25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13.22</v>
      </c>
      <c r="F84" s="34">
        <v>13.7</v>
      </c>
      <c r="G84" s="34">
        <v>13.7</v>
      </c>
      <c r="H84" s="329">
        <v>14.53</v>
      </c>
      <c r="I84" s="34">
        <v>14.53</v>
      </c>
      <c r="J84" s="34">
        <f t="shared" si="2"/>
        <v>16.11</v>
      </c>
    </row>
    <row r="85" spans="1:13" ht="13" x14ac:dyDescent="0.25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32.82</v>
      </c>
      <c r="F85" s="34">
        <v>34.01</v>
      </c>
      <c r="G85" s="34">
        <v>34.01</v>
      </c>
      <c r="H85" s="329">
        <v>36.06</v>
      </c>
      <c r="I85" s="34">
        <v>36.06</v>
      </c>
      <c r="J85" s="34">
        <f t="shared" si="2"/>
        <v>40</v>
      </c>
    </row>
    <row r="86" spans="1:13" ht="13" x14ac:dyDescent="0.25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4.01</v>
      </c>
      <c r="F86" s="34">
        <v>4.16</v>
      </c>
      <c r="G86" s="34">
        <v>4.16</v>
      </c>
      <c r="H86" s="329">
        <v>4.41</v>
      </c>
      <c r="I86" s="34">
        <v>4.41</v>
      </c>
      <c r="J86" s="34">
        <f t="shared" si="2"/>
        <v>4.8899999999999997</v>
      </c>
    </row>
    <row r="87" spans="1:13" ht="13" x14ac:dyDescent="0.25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4.96</v>
      </c>
      <c r="F87" s="34">
        <v>5.14</v>
      </c>
      <c r="G87" s="34">
        <v>5.14</v>
      </c>
      <c r="H87" s="329">
        <v>5.45</v>
      </c>
      <c r="I87" s="34">
        <v>5.45</v>
      </c>
      <c r="J87" s="34">
        <f t="shared" si="2"/>
        <v>6.04</v>
      </c>
    </row>
    <row r="88" spans="1:13" ht="13" x14ac:dyDescent="0.25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1.65</v>
      </c>
      <c r="F88" s="34">
        <v>1.71</v>
      </c>
      <c r="G88" s="34">
        <v>1.71</v>
      </c>
      <c r="H88" s="329">
        <v>1.82</v>
      </c>
      <c r="I88" s="34">
        <v>1.82</v>
      </c>
      <c r="J88" s="34">
        <f t="shared" si="2"/>
        <v>2.0099999999999998</v>
      </c>
    </row>
    <row r="89" spans="1:13" ht="12.75" customHeight="1" x14ac:dyDescent="0.25">
      <c r="A89" s="475" t="s">
        <v>156</v>
      </c>
      <c r="B89" s="476"/>
      <c r="C89" s="477"/>
      <c r="D89" s="37">
        <f>SUM(D83:D88)</f>
        <v>3.4099999999999991E-2</v>
      </c>
      <c r="E89" s="35">
        <v>80.510000000000005</v>
      </c>
      <c r="F89" s="35">
        <v>83.44</v>
      </c>
      <c r="G89" s="35">
        <v>83.44</v>
      </c>
      <c r="H89" s="35">
        <v>88.47</v>
      </c>
      <c r="I89" s="35">
        <f>ROUND(SUM(I83:I88),2)</f>
        <v>88.47</v>
      </c>
      <c r="J89" s="35">
        <f>ROUND(SUM(J83:J88),2)</f>
        <v>98.11</v>
      </c>
    </row>
    <row r="90" spans="1:13" x14ac:dyDescent="0.25">
      <c r="E90" s="10"/>
      <c r="F90" s="10"/>
      <c r="M90" s="121"/>
    </row>
    <row r="91" spans="1:13" ht="12.75" customHeight="1" x14ac:dyDescent="0.25">
      <c r="A91" s="478" t="s">
        <v>93</v>
      </c>
      <c r="B91" s="479"/>
      <c r="C91" s="479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  <c r="M91" s="121"/>
    </row>
    <row r="92" spans="1:13" ht="12.75" customHeight="1" x14ac:dyDescent="0.25">
      <c r="A92" s="32" t="s">
        <v>6</v>
      </c>
      <c r="B92" s="471" t="s">
        <v>155</v>
      </c>
      <c r="C92" s="487"/>
      <c r="D92" s="129">
        <f>((D56)*(D45+D89))</f>
        <v>9.0305920000000012E-2</v>
      </c>
      <c r="E92" s="34">
        <v>213.21</v>
      </c>
      <c r="F92" s="34">
        <v>220.98</v>
      </c>
      <c r="G92" s="34">
        <v>220.98</v>
      </c>
      <c r="H92" s="329">
        <v>234.27</v>
      </c>
      <c r="I92" s="34">
        <v>234.27</v>
      </c>
      <c r="J92" s="34">
        <f>ROUND(D92*$K$39,2)</f>
        <v>259.86</v>
      </c>
      <c r="M92" s="121"/>
    </row>
    <row r="93" spans="1:13" ht="12.75" customHeight="1" x14ac:dyDescent="0.25">
      <c r="A93" s="475" t="s">
        <v>156</v>
      </c>
      <c r="B93" s="476"/>
      <c r="C93" s="476"/>
      <c r="D93" s="130">
        <f>D92</f>
        <v>9.0305920000000012E-2</v>
      </c>
      <c r="E93" s="128">
        <v>213.21</v>
      </c>
      <c r="F93" s="128">
        <v>220.98</v>
      </c>
      <c r="G93" s="128">
        <v>220.98</v>
      </c>
      <c r="H93" s="128">
        <v>234.27</v>
      </c>
      <c r="I93" s="128">
        <f>ROUND(SUM(I92:I92),2)</f>
        <v>234.27</v>
      </c>
      <c r="J93" s="128">
        <f>ROUND(SUM(J92:J92),2)</f>
        <v>259.86</v>
      </c>
      <c r="M93" s="121"/>
    </row>
    <row r="94" spans="1:13" x14ac:dyDescent="0.25">
      <c r="E94" s="10"/>
      <c r="F94" s="10"/>
    </row>
    <row r="95" spans="1:13" ht="12.75" customHeight="1" x14ac:dyDescent="0.25">
      <c r="A95" s="478" t="s">
        <v>142</v>
      </c>
      <c r="B95" s="479"/>
      <c r="C95" s="479"/>
      <c r="D95" s="480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3" ht="13" x14ac:dyDescent="0.25">
      <c r="A96" s="32" t="s">
        <v>0</v>
      </c>
      <c r="B96" s="471" t="s">
        <v>253</v>
      </c>
      <c r="C96" s="487"/>
      <c r="D96" s="472"/>
      <c r="E96" s="34">
        <v>74.03</v>
      </c>
      <c r="F96" s="34">
        <v>76.73</v>
      </c>
      <c r="G96" s="34">
        <v>76.73</v>
      </c>
      <c r="H96" s="329">
        <v>81.34</v>
      </c>
      <c r="I96" s="34">
        <f>ROUND((I21/220)*M16*1.5*0.25,2)</f>
        <v>40.67</v>
      </c>
      <c r="J96" s="34">
        <f>ROUND((J21/220)*M16*1.5*0.5,2)</f>
        <v>90.23</v>
      </c>
    </row>
    <row r="97" spans="1:11" ht="12.75" customHeight="1" x14ac:dyDescent="0.25">
      <c r="A97" s="475" t="s">
        <v>156</v>
      </c>
      <c r="B97" s="476"/>
      <c r="C97" s="476"/>
      <c r="D97" s="477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40.67</v>
      </c>
      <c r="J97" s="35">
        <f>ROUND(SUM(J96:J96),2)</f>
        <v>90.23</v>
      </c>
    </row>
    <row r="98" spans="1:11" ht="33" customHeight="1" x14ac:dyDescent="0.25">
      <c r="A98" s="488" t="s">
        <v>143</v>
      </c>
      <c r="B98" s="488"/>
      <c r="C98" s="488"/>
      <c r="D98" s="488"/>
      <c r="E98" s="488"/>
      <c r="F98" s="488"/>
      <c r="G98" s="488"/>
      <c r="H98" s="488"/>
      <c r="I98" s="488"/>
      <c r="J98" s="488"/>
    </row>
    <row r="100" spans="1:11" ht="12.75" customHeight="1" x14ac:dyDescent="0.25">
      <c r="A100" s="486" t="s">
        <v>99</v>
      </c>
      <c r="B100" s="486"/>
      <c r="C100" s="486"/>
      <c r="D100" s="486"/>
      <c r="E100" s="486"/>
      <c r="F100" s="486"/>
      <c r="G100" s="486"/>
      <c r="H100" s="486"/>
      <c r="I100" s="486"/>
      <c r="J100" s="486"/>
    </row>
    <row r="101" spans="1:11" ht="12.75" customHeight="1" x14ac:dyDescent="0.25">
      <c r="A101" s="486" t="s">
        <v>100</v>
      </c>
      <c r="B101" s="486"/>
      <c r="C101" s="486"/>
      <c r="D101" s="486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1" ht="13" x14ac:dyDescent="0.25">
      <c r="A102" s="48" t="s">
        <v>26</v>
      </c>
      <c r="B102" s="481" t="s">
        <v>95</v>
      </c>
      <c r="C102" s="481"/>
      <c r="D102" s="481"/>
      <c r="E102" s="25">
        <v>293.72000000000003</v>
      </c>
      <c r="F102" s="25">
        <v>304.42</v>
      </c>
      <c r="G102" s="25">
        <v>304.42</v>
      </c>
      <c r="H102" s="323">
        <v>322.74</v>
      </c>
      <c r="I102" s="25">
        <v>322.74</v>
      </c>
      <c r="J102" s="25">
        <f>ROUND(J89+J93,2)</f>
        <v>357.97</v>
      </c>
    </row>
    <row r="103" spans="1:11" ht="13" x14ac:dyDescent="0.25">
      <c r="A103" s="48" t="s">
        <v>27</v>
      </c>
      <c r="B103" s="481" t="s">
        <v>101</v>
      </c>
      <c r="C103" s="481"/>
      <c r="D103" s="481"/>
      <c r="E103" s="25">
        <v>74.03</v>
      </c>
      <c r="F103" s="25">
        <v>76.73</v>
      </c>
      <c r="G103" s="25">
        <v>76.73</v>
      </c>
      <c r="H103" s="323">
        <v>81.34</v>
      </c>
      <c r="I103" s="25">
        <f>I97</f>
        <v>40.67</v>
      </c>
      <c r="J103" s="25">
        <f>J97</f>
        <v>90.23</v>
      </c>
    </row>
    <row r="104" spans="1:11" ht="12.75" customHeight="1" x14ac:dyDescent="0.25">
      <c r="A104" s="474" t="s">
        <v>102</v>
      </c>
      <c r="B104" s="474"/>
      <c r="C104" s="474"/>
      <c r="D104" s="474"/>
      <c r="E104" s="35">
        <v>367.75</v>
      </c>
      <c r="F104" s="35">
        <v>381.15</v>
      </c>
      <c r="G104" s="35">
        <v>381.15</v>
      </c>
      <c r="H104" s="35">
        <v>404.08</v>
      </c>
      <c r="I104" s="35">
        <f>ROUND(SUM(I102:I103),2)</f>
        <v>363.41</v>
      </c>
      <c r="J104" s="35">
        <f>ROUND(SUM(J102:J103),2)</f>
        <v>448.2</v>
      </c>
    </row>
    <row r="106" spans="1:11" ht="13" x14ac:dyDescent="0.25">
      <c r="A106" s="478" t="s">
        <v>103</v>
      </c>
      <c r="B106" s="479"/>
      <c r="C106" s="479"/>
      <c r="D106" s="479"/>
      <c r="E106" s="479"/>
      <c r="F106" s="479"/>
      <c r="G106" s="479"/>
      <c r="H106" s="479"/>
      <c r="I106" s="479"/>
      <c r="J106" s="480"/>
    </row>
    <row r="107" spans="1:11" ht="13" x14ac:dyDescent="0.25">
      <c r="A107" s="29">
        <v>5</v>
      </c>
      <c r="B107" s="478" t="s">
        <v>104</v>
      </c>
      <c r="C107" s="480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</row>
    <row r="108" spans="1:11" ht="13" x14ac:dyDescent="0.25">
      <c r="A108" s="32" t="s">
        <v>0</v>
      </c>
      <c r="B108" s="471" t="s">
        <v>129</v>
      </c>
      <c r="C108" s="472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18.72</v>
      </c>
    </row>
    <row r="109" spans="1:11" ht="13" x14ac:dyDescent="0.25">
      <c r="A109" s="32" t="s">
        <v>1</v>
      </c>
      <c r="B109" s="471" t="s">
        <v>190</v>
      </c>
      <c r="C109" s="472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329">
        <v>17.690000000000001</v>
      </c>
      <c r="I109" s="34">
        <v>17.690000000000001</v>
      </c>
      <c r="J109" s="347">
        <f>'Uniformes e Equiptos'!H41</f>
        <v>19.46</v>
      </c>
      <c r="K109" s="49"/>
    </row>
    <row r="110" spans="1:11" ht="13" x14ac:dyDescent="0.25">
      <c r="A110" s="32" t="s">
        <v>2</v>
      </c>
      <c r="B110" s="471" t="s">
        <v>187</v>
      </c>
      <c r="C110" s="472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</row>
    <row r="111" spans="1:11" ht="12.75" customHeight="1" x14ac:dyDescent="0.25">
      <c r="A111" s="475" t="s">
        <v>156</v>
      </c>
      <c r="B111" s="476"/>
      <c r="C111" s="477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38.18</v>
      </c>
    </row>
    <row r="113" spans="1:12" ht="13" x14ac:dyDescent="0.25">
      <c r="A113" s="478" t="s">
        <v>105</v>
      </c>
      <c r="B113" s="479"/>
      <c r="C113" s="479"/>
      <c r="D113" s="479"/>
      <c r="E113" s="479"/>
      <c r="F113" s="479"/>
      <c r="G113" s="479"/>
      <c r="H113" s="479"/>
      <c r="I113" s="479"/>
      <c r="J113" s="480"/>
    </row>
    <row r="114" spans="1:12" ht="13" x14ac:dyDescent="0.25">
      <c r="A114" s="29">
        <v>6</v>
      </c>
      <c r="B114" s="478" t="s">
        <v>106</v>
      </c>
      <c r="C114" s="480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</row>
    <row r="115" spans="1:12" ht="28.5" customHeight="1" x14ac:dyDescent="0.25">
      <c r="A115" s="32" t="s">
        <v>0</v>
      </c>
      <c r="B115" s="471" t="s">
        <v>301</v>
      </c>
      <c r="C115" s="472"/>
      <c r="D115" s="51">
        <v>0.03</v>
      </c>
      <c r="E115" s="34">
        <v>137.05000000000001</v>
      </c>
      <c r="F115" s="34">
        <v>141.9</v>
      </c>
      <c r="G115" s="34">
        <v>141.52000000000001</v>
      </c>
      <c r="H115" s="329">
        <v>149.82</v>
      </c>
      <c r="I115" s="34">
        <v>149.91</v>
      </c>
      <c r="J115" s="34">
        <f>ROUND(J130*D115,2)</f>
        <v>165.82</v>
      </c>
      <c r="K115" s="132"/>
      <c r="L115" s="138"/>
    </row>
    <row r="116" spans="1:12" ht="13" x14ac:dyDescent="0.25">
      <c r="A116" s="32" t="s">
        <v>1</v>
      </c>
      <c r="B116" s="52" t="s">
        <v>12</v>
      </c>
      <c r="C116" s="53"/>
      <c r="D116" s="51">
        <v>1.0200000000000001E-2</v>
      </c>
      <c r="E116" s="34">
        <v>48</v>
      </c>
      <c r="F116" s="34">
        <v>49.69</v>
      </c>
      <c r="G116" s="34">
        <v>49.56</v>
      </c>
      <c r="H116" s="329">
        <v>52.47</v>
      </c>
      <c r="I116" s="34">
        <v>52.5</v>
      </c>
      <c r="J116" s="34">
        <f>ROUND((J130+J115)*D116,2)</f>
        <v>58.07</v>
      </c>
      <c r="K116" s="133"/>
      <c r="L116" s="139"/>
    </row>
    <row r="117" spans="1:12" ht="13" x14ac:dyDescent="0.25">
      <c r="A117" s="32" t="s">
        <v>2</v>
      </c>
      <c r="B117" s="483" t="s">
        <v>302</v>
      </c>
      <c r="C117" s="484"/>
      <c r="D117" s="54"/>
      <c r="E117" s="55"/>
      <c r="F117" s="55"/>
      <c r="G117" s="55"/>
      <c r="H117" s="330"/>
      <c r="I117" s="55"/>
      <c r="J117" s="55"/>
    </row>
    <row r="118" spans="1:12" ht="13" x14ac:dyDescent="0.25">
      <c r="A118" s="32" t="s">
        <v>107</v>
      </c>
      <c r="B118" s="471" t="s">
        <v>13</v>
      </c>
      <c r="C118" s="472"/>
      <c r="D118" s="51">
        <v>6.4999999999999997E-3</v>
      </c>
      <c r="E118" s="34">
        <v>32.92</v>
      </c>
      <c r="F118" s="34">
        <v>34.090000000000003</v>
      </c>
      <c r="G118" s="34">
        <v>34</v>
      </c>
      <c r="H118" s="329">
        <v>35.99</v>
      </c>
      <c r="I118" s="34">
        <v>36.01</v>
      </c>
      <c r="J118" s="34">
        <f>ROUND((($J$130+$J$115+$J$116)/(1-($D$118+$D$119+$D$120)))*D118,2)</f>
        <v>39.83</v>
      </c>
      <c r="K118" s="469"/>
      <c r="L118" s="470"/>
    </row>
    <row r="119" spans="1:12" ht="13" x14ac:dyDescent="0.25">
      <c r="A119" s="32" t="s">
        <v>108</v>
      </c>
      <c r="B119" s="471" t="s">
        <v>14</v>
      </c>
      <c r="C119" s="472"/>
      <c r="D119" s="51">
        <v>0.03</v>
      </c>
      <c r="E119" s="34">
        <v>151.94999999999999</v>
      </c>
      <c r="F119" s="34">
        <v>157.32</v>
      </c>
      <c r="G119" s="34">
        <v>156.9</v>
      </c>
      <c r="H119" s="329">
        <v>166.1</v>
      </c>
      <c r="I119" s="34">
        <v>166.2</v>
      </c>
      <c r="J119" s="34">
        <f>ROUND((($J$130+$J$115+$J$116)/(1-($D$118+$D$119+$D$120)))*D119,2)</f>
        <v>183.85</v>
      </c>
      <c r="K119" s="469"/>
      <c r="L119" s="470"/>
    </row>
    <row r="120" spans="1:12" ht="13" x14ac:dyDescent="0.25">
      <c r="A120" s="32" t="s">
        <v>109</v>
      </c>
      <c r="B120" s="471" t="s">
        <v>30</v>
      </c>
      <c r="C120" s="472"/>
      <c r="D120" s="51">
        <f>M9</f>
        <v>2.5000000000000001E-2</v>
      </c>
      <c r="E120" s="34">
        <v>126.63</v>
      </c>
      <c r="F120" s="34">
        <v>131.1</v>
      </c>
      <c r="G120" s="34">
        <v>130.75</v>
      </c>
      <c r="H120" s="329">
        <v>138.41999999999999</v>
      </c>
      <c r="I120" s="34">
        <v>138.5</v>
      </c>
      <c r="J120" s="34">
        <f>ROUND((($J$130+$J$115+$J$116)/(1-($D$118+$D$119+$D$120)))*D120,2)</f>
        <v>153.21</v>
      </c>
    </row>
    <row r="121" spans="1:12" ht="12.75" customHeight="1" x14ac:dyDescent="0.25">
      <c r="A121" s="475" t="s">
        <v>157</v>
      </c>
      <c r="B121" s="476"/>
      <c r="C121" s="477"/>
      <c r="D121" s="47">
        <f>SUM(D115:D120)</f>
        <v>0.10169999999999998</v>
      </c>
      <c r="E121" s="31">
        <v>496.55</v>
      </c>
      <c r="F121" s="31">
        <v>514.1</v>
      </c>
      <c r="G121" s="31">
        <v>512.73</v>
      </c>
      <c r="H121" s="31">
        <v>542.79999999999995</v>
      </c>
      <c r="I121" s="31">
        <f>SUM(I115:I120)</f>
        <v>543.12</v>
      </c>
      <c r="J121" s="31">
        <f>SUM(J115:J120)</f>
        <v>600.78</v>
      </c>
    </row>
    <row r="123" spans="1:12" ht="12.75" customHeight="1" x14ac:dyDescent="0.25">
      <c r="A123" s="486" t="s">
        <v>110</v>
      </c>
      <c r="B123" s="486"/>
      <c r="C123" s="486"/>
      <c r="D123" s="486"/>
      <c r="E123" s="486"/>
      <c r="F123" s="486"/>
      <c r="G123" s="486"/>
      <c r="H123" s="486"/>
      <c r="I123" s="486"/>
      <c r="J123" s="486"/>
    </row>
    <row r="124" spans="1:12" ht="12.75" customHeight="1" x14ac:dyDescent="0.25">
      <c r="A124" s="486" t="s">
        <v>111</v>
      </c>
      <c r="B124" s="486"/>
      <c r="C124" s="486"/>
      <c r="D124" s="486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2" x14ac:dyDescent="0.25">
      <c r="A125" s="117" t="s">
        <v>0</v>
      </c>
      <c r="B125" s="481" t="s">
        <v>65</v>
      </c>
      <c r="C125" s="481"/>
      <c r="D125" s="481"/>
      <c r="E125" s="25">
        <v>2380.11</v>
      </c>
      <c r="F125" s="25">
        <v>2466.92</v>
      </c>
      <c r="G125" s="25">
        <v>2466.92</v>
      </c>
      <c r="H125" s="323">
        <v>2615.23</v>
      </c>
      <c r="I125" s="25">
        <v>2615.23</v>
      </c>
      <c r="J125" s="25">
        <f>J39</f>
        <v>2900.99</v>
      </c>
    </row>
    <row r="126" spans="1:12" x14ac:dyDescent="0.25">
      <c r="A126" s="117" t="s">
        <v>1</v>
      </c>
      <c r="B126" s="481" t="s">
        <v>68</v>
      </c>
      <c r="C126" s="481"/>
      <c r="D126" s="481"/>
      <c r="E126" s="25">
        <v>1652.04</v>
      </c>
      <c r="F126" s="25">
        <v>1708.35</v>
      </c>
      <c r="G126" s="25">
        <v>1720.35</v>
      </c>
      <c r="H126" s="323">
        <v>1818.69</v>
      </c>
      <c r="I126" s="25">
        <v>1821.69</v>
      </c>
      <c r="J126" s="25">
        <f>J69</f>
        <v>2005.74</v>
      </c>
    </row>
    <row r="127" spans="1:12" x14ac:dyDescent="0.25">
      <c r="A127" s="117" t="s">
        <v>2</v>
      </c>
      <c r="B127" s="481" t="s">
        <v>84</v>
      </c>
      <c r="C127" s="481"/>
      <c r="D127" s="481"/>
      <c r="E127" s="25">
        <v>133.88</v>
      </c>
      <c r="F127" s="25">
        <v>138.75</v>
      </c>
      <c r="G127" s="25">
        <v>114.28</v>
      </c>
      <c r="H127" s="323">
        <v>121.15</v>
      </c>
      <c r="I127" s="25">
        <v>121.15</v>
      </c>
      <c r="J127" s="25">
        <f>J79</f>
        <v>134.38</v>
      </c>
    </row>
    <row r="128" spans="1:12" x14ac:dyDescent="0.25">
      <c r="A128" s="56" t="s">
        <v>3</v>
      </c>
      <c r="B128" s="481" t="s">
        <v>92</v>
      </c>
      <c r="C128" s="481"/>
      <c r="D128" s="481"/>
      <c r="E128" s="25">
        <v>367.75</v>
      </c>
      <c r="F128" s="25">
        <v>381.15</v>
      </c>
      <c r="G128" s="25">
        <v>381.15</v>
      </c>
      <c r="H128" s="323">
        <v>404.08</v>
      </c>
      <c r="I128" s="25">
        <v>404.08</v>
      </c>
      <c r="J128" s="25">
        <f>J104</f>
        <v>448.2</v>
      </c>
      <c r="L128" s="218"/>
    </row>
    <row r="129" spans="1:12" x14ac:dyDescent="0.25">
      <c r="A129" s="57" t="s">
        <v>4</v>
      </c>
      <c r="B129" s="481" t="s">
        <v>103</v>
      </c>
      <c r="C129" s="481"/>
      <c r="D129" s="481"/>
      <c r="E129" s="58">
        <v>34.69</v>
      </c>
      <c r="F129" s="58">
        <v>34.69</v>
      </c>
      <c r="G129" s="58">
        <v>34.69</v>
      </c>
      <c r="H129" s="331">
        <v>34.69</v>
      </c>
      <c r="I129" s="58">
        <v>34.69</v>
      </c>
      <c r="J129" s="58">
        <f>J111</f>
        <v>38.18</v>
      </c>
      <c r="L129" s="218"/>
    </row>
    <row r="130" spans="1:12" ht="13" x14ac:dyDescent="0.25">
      <c r="A130" s="59"/>
      <c r="B130" s="482" t="s">
        <v>112</v>
      </c>
      <c r="C130" s="482"/>
      <c r="D130" s="482"/>
      <c r="E130" s="60">
        <v>4568.4699999999993</v>
      </c>
      <c r="F130" s="60">
        <v>4729.8599999999997</v>
      </c>
      <c r="G130" s="60">
        <v>4717.3899999999994</v>
      </c>
      <c r="H130" s="60">
        <v>4993.8399999999992</v>
      </c>
      <c r="I130" s="60">
        <v>4996.8399999999992</v>
      </c>
      <c r="J130" s="60">
        <f>SUM(J125:J129)</f>
        <v>5527.49</v>
      </c>
    </row>
    <row r="131" spans="1:12" x14ac:dyDescent="0.25">
      <c r="A131" s="117" t="s">
        <v>5</v>
      </c>
      <c r="B131" s="481" t="s">
        <v>105</v>
      </c>
      <c r="C131" s="481"/>
      <c r="D131" s="481"/>
      <c r="E131" s="25">
        <v>496.55</v>
      </c>
      <c r="F131" s="25">
        <v>514.1</v>
      </c>
      <c r="G131" s="25">
        <v>512.73</v>
      </c>
      <c r="H131" s="323">
        <v>542.79999999999995</v>
      </c>
      <c r="I131" s="25">
        <v>543.12</v>
      </c>
      <c r="J131" s="25">
        <f>J121</f>
        <v>600.78</v>
      </c>
    </row>
    <row r="132" spans="1:12" ht="13" x14ac:dyDescent="0.25">
      <c r="A132" s="474" t="s">
        <v>113</v>
      </c>
      <c r="B132" s="474"/>
      <c r="C132" s="474"/>
      <c r="D132" s="474"/>
      <c r="E132" s="119">
        <v>5065.0200000000004</v>
      </c>
      <c r="F132" s="119">
        <v>5243.96</v>
      </c>
      <c r="G132" s="119">
        <v>5230.12</v>
      </c>
      <c r="H132" s="119">
        <v>5536.64</v>
      </c>
      <c r="I132" s="119">
        <v>5539.96</v>
      </c>
      <c r="J132" s="119">
        <f>ROUND(SUM(J130:J131),2)</f>
        <v>6128.27</v>
      </c>
    </row>
    <row r="133" spans="1:12" ht="13" x14ac:dyDescent="0.25">
      <c r="A133" s="485" t="s">
        <v>140</v>
      </c>
      <c r="B133" s="485"/>
      <c r="C133" s="485"/>
      <c r="D133" s="485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ht="13" x14ac:dyDescent="0.25">
      <c r="A134" s="473" t="s">
        <v>141</v>
      </c>
      <c r="B134" s="473"/>
      <c r="C134" s="473"/>
      <c r="D134" s="473"/>
      <c r="E134" s="235">
        <v>10130.040000000001</v>
      </c>
      <c r="F134" s="235">
        <v>10487.92</v>
      </c>
      <c r="G134" s="111">
        <v>10460.24</v>
      </c>
      <c r="H134" s="111">
        <v>11073.28</v>
      </c>
      <c r="I134" s="111">
        <f>ROUND(I132*I133,2)</f>
        <v>11079.92</v>
      </c>
      <c r="J134" s="111">
        <f>ROUND(J132*J133,2)</f>
        <v>12256.54</v>
      </c>
    </row>
  </sheetData>
  <mergeCells count="123">
    <mergeCell ref="A133:D133"/>
    <mergeCell ref="A134:D134"/>
    <mergeCell ref="B127:D127"/>
    <mergeCell ref="B128:D128"/>
    <mergeCell ref="B129:D129"/>
    <mergeCell ref="B130:D130"/>
    <mergeCell ref="B131:D131"/>
    <mergeCell ref="A132:D132"/>
    <mergeCell ref="B120:C120"/>
    <mergeCell ref="A121:C121"/>
    <mergeCell ref="A123:J123"/>
    <mergeCell ref="A124:D124"/>
    <mergeCell ref="B125:D125"/>
    <mergeCell ref="B126:D126"/>
    <mergeCell ref="B117:C117"/>
    <mergeCell ref="B118:C118"/>
    <mergeCell ref="K118:L118"/>
    <mergeCell ref="B119:C119"/>
    <mergeCell ref="K119:L119"/>
    <mergeCell ref="B110:C110"/>
    <mergeCell ref="A111:C111"/>
    <mergeCell ref="A113:J113"/>
    <mergeCell ref="B114:C114"/>
    <mergeCell ref="B115:C115"/>
    <mergeCell ref="B103:D103"/>
    <mergeCell ref="A104:D104"/>
    <mergeCell ref="A106:J106"/>
    <mergeCell ref="B107:C107"/>
    <mergeCell ref="B108:C108"/>
    <mergeCell ref="B109:C109"/>
    <mergeCell ref="A97:D97"/>
    <mergeCell ref="A98:J98"/>
    <mergeCell ref="A100:J100"/>
    <mergeCell ref="A101:D101"/>
    <mergeCell ref="B102:D102"/>
    <mergeCell ref="B86:C86"/>
    <mergeCell ref="B87:C87"/>
    <mergeCell ref="B88:C88"/>
    <mergeCell ref="A89:C89"/>
    <mergeCell ref="A95:D95"/>
    <mergeCell ref="B96:D96"/>
    <mergeCell ref="A93:C93"/>
    <mergeCell ref="B92:C92"/>
    <mergeCell ref="A91:C91"/>
    <mergeCell ref="A79:C79"/>
    <mergeCell ref="A81:J81"/>
    <mergeCell ref="B82:C82"/>
    <mergeCell ref="B83:C83"/>
    <mergeCell ref="B84:C84"/>
    <mergeCell ref="B85:C85"/>
    <mergeCell ref="B73:C73"/>
    <mergeCell ref="B74:C74"/>
    <mergeCell ref="B75:C75"/>
    <mergeCell ref="B76:C76"/>
    <mergeCell ref="B77:C77"/>
    <mergeCell ref="B78:C78"/>
    <mergeCell ref="B66:D66"/>
    <mergeCell ref="B67:D67"/>
    <mergeCell ref="B68:D68"/>
    <mergeCell ref="A69:D69"/>
    <mergeCell ref="A71:J71"/>
    <mergeCell ref="B72:C72"/>
    <mergeCell ref="B60:C60"/>
    <mergeCell ref="B61:C61"/>
    <mergeCell ref="A62:C62"/>
    <mergeCell ref="A64:J64"/>
    <mergeCell ref="A65:D65"/>
    <mergeCell ref="B53:C53"/>
    <mergeCell ref="B54:C54"/>
    <mergeCell ref="B55:C55"/>
    <mergeCell ref="A56:C56"/>
    <mergeCell ref="A58:C58"/>
    <mergeCell ref="A45:C45"/>
    <mergeCell ref="B59:C59"/>
    <mergeCell ref="A47:C47"/>
    <mergeCell ref="B48:C48"/>
    <mergeCell ref="B49:C49"/>
    <mergeCell ref="B50:C50"/>
    <mergeCell ref="B51:C51"/>
    <mergeCell ref="B52:C52"/>
    <mergeCell ref="A41:J41"/>
    <mergeCell ref="A42:C42"/>
    <mergeCell ref="B43:C43"/>
    <mergeCell ref="B38:C38"/>
    <mergeCell ref="B44:C44"/>
    <mergeCell ref="B32:C32"/>
    <mergeCell ref="B33:C33"/>
    <mergeCell ref="B34:C34"/>
    <mergeCell ref="B35:C35"/>
    <mergeCell ref="B36:C36"/>
    <mergeCell ref="B37:C37"/>
    <mergeCell ref="A30:J30"/>
    <mergeCell ref="B31:C31"/>
    <mergeCell ref="A15:B15"/>
    <mergeCell ref="D15:J15"/>
    <mergeCell ref="A16:B16"/>
    <mergeCell ref="D16:J16"/>
    <mergeCell ref="B19:D19"/>
    <mergeCell ref="A39:D39"/>
    <mergeCell ref="B12:D12"/>
    <mergeCell ref="A14:J14"/>
    <mergeCell ref="B27:D27"/>
    <mergeCell ref="B28:D28"/>
    <mergeCell ref="B25:D25"/>
    <mergeCell ref="B26:D26"/>
    <mergeCell ref="A1:J1"/>
    <mergeCell ref="L3:M3"/>
    <mergeCell ref="A3:C3"/>
    <mergeCell ref="D3:J3"/>
    <mergeCell ref="A4:C4"/>
    <mergeCell ref="D4:J4"/>
    <mergeCell ref="A5:J5"/>
    <mergeCell ref="A6:J6"/>
    <mergeCell ref="B24:D24"/>
    <mergeCell ref="A8:J8"/>
    <mergeCell ref="B9:D9"/>
    <mergeCell ref="B10:D10"/>
    <mergeCell ref="A7:J7"/>
    <mergeCell ref="B11:D11"/>
    <mergeCell ref="B20:D20"/>
    <mergeCell ref="B21:D21"/>
    <mergeCell ref="B22:D22"/>
    <mergeCell ref="B23:D23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11">
    <tabColor theme="7"/>
  </sheetPr>
  <dimension ref="A1:P134"/>
  <sheetViews>
    <sheetView view="pageBreakPreview" topLeftCell="A13" zoomScaleNormal="100" zoomScaleSheetLayoutView="100" workbookViewId="0">
      <selection activeCell="J22" sqref="J22"/>
    </sheetView>
  </sheetViews>
  <sheetFormatPr defaultColWidth="9.1796875" defaultRowHeight="12.5" x14ac:dyDescent="0.25"/>
  <cols>
    <col min="1" max="1" width="7.1796875" style="9" customWidth="1"/>
    <col min="2" max="2" width="24.1796875" style="9" customWidth="1"/>
    <col min="3" max="3" width="34.81640625" style="9" customWidth="1"/>
    <col min="4" max="4" width="13.26953125" style="9" customWidth="1"/>
    <col min="5" max="6" width="19" style="9" hidden="1" customWidth="1"/>
    <col min="7" max="7" width="22.1796875" style="10" hidden="1" customWidth="1"/>
    <col min="8" max="8" width="22.1796875" style="322" hidden="1" customWidth="1"/>
    <col min="9" max="10" width="22.1796875" style="10" customWidth="1"/>
    <col min="11" max="11" width="21.453125" style="9" customWidth="1"/>
    <col min="12" max="12" width="33.453125" style="9" bestFit="1" customWidth="1"/>
    <col min="13" max="13" width="15.7265625" style="215" customWidth="1"/>
    <col min="14" max="14" width="17" style="9" customWidth="1"/>
    <col min="15" max="16384" width="9.1796875" style="9"/>
  </cols>
  <sheetData>
    <row r="1" spans="1:16" ht="13" x14ac:dyDescent="0.25">
      <c r="A1" s="493" t="s">
        <v>241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6" ht="13" x14ac:dyDescent="0.25">
      <c r="A2" s="217"/>
      <c r="B2" s="217"/>
      <c r="C2" s="217"/>
      <c r="D2" s="217"/>
      <c r="E2" s="228"/>
      <c r="F2" s="243"/>
      <c r="G2" s="305"/>
      <c r="H2" s="305"/>
      <c r="I2" s="318"/>
      <c r="J2" s="217"/>
      <c r="N2" s="123"/>
    </row>
    <row r="3" spans="1:16" ht="13" x14ac:dyDescent="0.25">
      <c r="A3" s="495" t="s">
        <v>242</v>
      </c>
      <c r="B3" s="496"/>
      <c r="C3" s="497"/>
      <c r="D3" s="498" t="s">
        <v>239</v>
      </c>
      <c r="E3" s="498"/>
      <c r="F3" s="498"/>
      <c r="G3" s="498"/>
      <c r="H3" s="498"/>
      <c r="I3" s="498"/>
      <c r="J3" s="498"/>
      <c r="L3" s="494"/>
      <c r="M3" s="494"/>
      <c r="N3" s="124"/>
    </row>
    <row r="4" spans="1:16" ht="13" x14ac:dyDescent="0.25">
      <c r="A4" s="495" t="s">
        <v>243</v>
      </c>
      <c r="B4" s="496"/>
      <c r="C4" s="497"/>
      <c r="D4" s="499" t="s">
        <v>240</v>
      </c>
      <c r="E4" s="499"/>
      <c r="F4" s="499"/>
      <c r="G4" s="499"/>
      <c r="H4" s="499"/>
      <c r="I4" s="499"/>
      <c r="J4" s="499"/>
      <c r="L4" s="185"/>
      <c r="M4" s="186"/>
    </row>
    <row r="5" spans="1:16" ht="13" x14ac:dyDescent="0.25">
      <c r="A5" s="495" t="s">
        <v>245</v>
      </c>
      <c r="B5" s="496"/>
      <c r="C5" s="496"/>
      <c r="D5" s="496"/>
      <c r="E5" s="496"/>
      <c r="F5" s="496"/>
      <c r="G5" s="496"/>
      <c r="H5" s="496"/>
      <c r="I5" s="496"/>
      <c r="J5" s="497"/>
      <c r="L5" s="185"/>
      <c r="M5" s="186"/>
      <c r="N5" s="124"/>
    </row>
    <row r="6" spans="1:16" ht="13" x14ac:dyDescent="0.25">
      <c r="A6" s="495" t="s">
        <v>244</v>
      </c>
      <c r="B6" s="496"/>
      <c r="C6" s="496"/>
      <c r="D6" s="496"/>
      <c r="E6" s="496"/>
      <c r="F6" s="496"/>
      <c r="G6" s="496"/>
      <c r="H6" s="496"/>
      <c r="I6" s="496"/>
      <c r="J6" s="497"/>
      <c r="L6" s="185"/>
      <c r="M6" s="211"/>
    </row>
    <row r="7" spans="1:16" x14ac:dyDescent="0.25">
      <c r="A7" s="500"/>
      <c r="B7" s="500"/>
      <c r="C7" s="500"/>
      <c r="D7" s="500"/>
      <c r="E7" s="500"/>
      <c r="F7" s="500"/>
      <c r="G7" s="500"/>
      <c r="H7" s="500"/>
      <c r="I7" s="500"/>
      <c r="J7" s="500"/>
      <c r="L7" s="185"/>
      <c r="M7" s="186"/>
      <c r="N7" s="10"/>
      <c r="P7" s="113"/>
    </row>
    <row r="8" spans="1:16" ht="12.75" customHeight="1" thickBot="1" x14ac:dyDescent="0.3">
      <c r="A8" s="486" t="s">
        <v>55</v>
      </c>
      <c r="B8" s="486"/>
      <c r="C8" s="486"/>
      <c r="D8" s="486"/>
      <c r="E8" s="486"/>
      <c r="F8" s="486"/>
      <c r="G8" s="486"/>
      <c r="H8" s="486"/>
      <c r="I8" s="486"/>
      <c r="J8" s="486"/>
      <c r="K8" s="11"/>
      <c r="L8" s="4"/>
      <c r="M8" s="62"/>
      <c r="N8" s="112"/>
      <c r="P8" s="113"/>
    </row>
    <row r="9" spans="1:16" ht="12.75" customHeight="1" thickTop="1" x14ac:dyDescent="0.25">
      <c r="A9" s="214" t="s">
        <v>0</v>
      </c>
      <c r="B9" s="481" t="s">
        <v>56</v>
      </c>
      <c r="C9" s="481"/>
      <c r="D9" s="481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ht="13" x14ac:dyDescent="0.25">
      <c r="A10" s="214" t="s">
        <v>1</v>
      </c>
      <c r="B10" s="481" t="s">
        <v>57</v>
      </c>
      <c r="C10" s="481"/>
      <c r="D10" s="481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3">
      <c r="A11" s="214" t="s">
        <v>2</v>
      </c>
      <c r="B11" s="481" t="s">
        <v>58</v>
      </c>
      <c r="C11" s="481"/>
      <c r="D11" s="481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3">
      <c r="A12" s="16" t="s">
        <v>3</v>
      </c>
      <c r="B12" s="481" t="s">
        <v>59</v>
      </c>
      <c r="C12" s="481"/>
      <c r="D12" s="481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5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5">
      <c r="A14" s="486" t="s">
        <v>21</v>
      </c>
      <c r="B14" s="486"/>
      <c r="C14" s="486"/>
      <c r="D14" s="486"/>
      <c r="E14" s="486"/>
      <c r="F14" s="486"/>
      <c r="G14" s="486"/>
      <c r="H14" s="486"/>
      <c r="I14" s="486"/>
      <c r="J14" s="486"/>
      <c r="K14" s="11"/>
      <c r="L14" s="5" t="s">
        <v>32</v>
      </c>
      <c r="M14" s="66">
        <v>4.8</v>
      </c>
    </row>
    <row r="15" spans="1:16" s="20" customFormat="1" ht="36.75" customHeight="1" x14ac:dyDescent="0.25">
      <c r="A15" s="485" t="s">
        <v>22</v>
      </c>
      <c r="B15" s="485"/>
      <c r="C15" s="214" t="s">
        <v>23</v>
      </c>
      <c r="D15" s="485" t="s">
        <v>61</v>
      </c>
      <c r="E15" s="485"/>
      <c r="F15" s="485"/>
      <c r="G15" s="485"/>
      <c r="H15" s="485"/>
      <c r="I15" s="485"/>
      <c r="J15" s="485"/>
      <c r="K15" s="11"/>
      <c r="L15" s="5" t="s">
        <v>33</v>
      </c>
      <c r="M15" s="64">
        <v>0.06</v>
      </c>
    </row>
    <row r="16" spans="1:16" ht="25" x14ac:dyDescent="0.25">
      <c r="A16" s="492" t="s">
        <v>145</v>
      </c>
      <c r="B16" s="492"/>
      <c r="C16" s="216" t="s">
        <v>315</v>
      </c>
      <c r="D16" s="492">
        <v>2</v>
      </c>
      <c r="E16" s="492"/>
      <c r="F16" s="492"/>
      <c r="G16" s="492"/>
      <c r="H16" s="492"/>
      <c r="I16" s="492"/>
      <c r="J16" s="492"/>
      <c r="K16" s="14"/>
      <c r="L16" s="5" t="s">
        <v>34</v>
      </c>
      <c r="M16" s="72">
        <v>12.5</v>
      </c>
    </row>
    <row r="17" spans="1:13" ht="13.5" thickBot="1" x14ac:dyDescent="0.3">
      <c r="L17" s="7" t="s">
        <v>35</v>
      </c>
      <c r="M17" s="67">
        <f>ROUND((M13*M14*M16)-(M15*J32),2)</f>
        <v>14.14</v>
      </c>
    </row>
    <row r="18" spans="1:13" ht="29.25" customHeight="1" thickTop="1" thickBot="1" x14ac:dyDescent="0.3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5">
      <c r="A19" s="22">
        <v>1</v>
      </c>
      <c r="B19" s="491" t="s">
        <v>7</v>
      </c>
      <c r="C19" s="491"/>
      <c r="D19" s="491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ht="13" x14ac:dyDescent="0.25">
      <c r="A20" s="24">
        <v>2</v>
      </c>
      <c r="B20" s="481" t="s">
        <v>63</v>
      </c>
      <c r="C20" s="481"/>
      <c r="D20" s="481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12.5</v>
      </c>
    </row>
    <row r="21" spans="1:13" ht="13" x14ac:dyDescent="0.25">
      <c r="A21" s="22">
        <v>3</v>
      </c>
      <c r="B21" s="481" t="s">
        <v>64</v>
      </c>
      <c r="C21" s="481"/>
      <c r="D21" s="481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299.125</v>
      </c>
    </row>
    <row r="22" spans="1:13" ht="13" x14ac:dyDescent="0.25">
      <c r="A22" s="24">
        <v>4</v>
      </c>
      <c r="B22" s="481" t="s">
        <v>8</v>
      </c>
      <c r="C22" s="481"/>
      <c r="D22" s="481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59.825000000000003</v>
      </c>
    </row>
    <row r="23" spans="1:13" ht="13.5" thickBot="1" x14ac:dyDescent="0.3">
      <c r="A23" s="22">
        <v>5</v>
      </c>
      <c r="B23" s="481" t="s">
        <v>9</v>
      </c>
      <c r="C23" s="481"/>
      <c r="D23" s="481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239.3</v>
      </c>
    </row>
    <row r="24" spans="1:13" ht="13.5" thickTop="1" x14ac:dyDescent="0.25">
      <c r="A24" s="24">
        <v>6</v>
      </c>
      <c r="B24" s="491" t="s">
        <v>248</v>
      </c>
      <c r="C24" s="491"/>
      <c r="D24" s="491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ht="13" x14ac:dyDescent="0.25">
      <c r="A25" s="22">
        <v>7</v>
      </c>
      <c r="B25" s="481" t="s">
        <v>249</v>
      </c>
      <c r="C25" s="481"/>
      <c r="D25" s="481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ht="13" x14ac:dyDescent="0.25">
      <c r="A26" s="24">
        <v>8</v>
      </c>
      <c r="B26" s="481" t="s">
        <v>250</v>
      </c>
      <c r="C26" s="481"/>
      <c r="D26" s="481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ht="13" x14ac:dyDescent="0.25">
      <c r="A27" s="22">
        <v>9</v>
      </c>
      <c r="B27" s="481" t="s">
        <v>251</v>
      </c>
      <c r="C27" s="481"/>
      <c r="D27" s="481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ht="13" x14ac:dyDescent="0.25">
      <c r="A28" s="24">
        <v>10</v>
      </c>
      <c r="B28" s="481" t="s">
        <v>252</v>
      </c>
      <c r="C28" s="481"/>
      <c r="D28" s="481"/>
      <c r="E28" s="188">
        <v>2</v>
      </c>
      <c r="F28" s="188">
        <v>2</v>
      </c>
      <c r="G28" s="188">
        <v>2</v>
      </c>
      <c r="H28" s="327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5">
      <c r="G29" s="169"/>
      <c r="H29" s="328"/>
      <c r="I29" s="169"/>
      <c r="J29" s="169"/>
      <c r="K29" s="233"/>
      <c r="L29" s="185"/>
      <c r="M29" s="207"/>
    </row>
    <row r="30" spans="1:13" ht="13" x14ac:dyDescent="0.25">
      <c r="A30" s="478" t="s">
        <v>65</v>
      </c>
      <c r="B30" s="479"/>
      <c r="C30" s="479"/>
      <c r="D30" s="479"/>
      <c r="E30" s="479"/>
      <c r="F30" s="479"/>
      <c r="G30" s="479"/>
      <c r="H30" s="479"/>
      <c r="I30" s="479"/>
      <c r="J30" s="480"/>
      <c r="L30" s="185"/>
      <c r="M30" s="207"/>
    </row>
    <row r="31" spans="1:13" ht="13" x14ac:dyDescent="0.25">
      <c r="A31" s="29">
        <v>1</v>
      </c>
      <c r="B31" s="478" t="s">
        <v>66</v>
      </c>
      <c r="C31" s="480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ht="13" x14ac:dyDescent="0.25">
      <c r="A32" s="32" t="s">
        <v>0</v>
      </c>
      <c r="B32" s="471" t="s">
        <v>24</v>
      </c>
      <c r="C32" s="472"/>
      <c r="D32" s="33"/>
      <c r="E32" s="34">
        <v>1447.6</v>
      </c>
      <c r="F32" s="329">
        <v>1500.4</v>
      </c>
      <c r="G32" s="329">
        <v>1500.4</v>
      </c>
      <c r="H32" s="329">
        <v>1590.6</v>
      </c>
      <c r="I32" s="329">
        <v>1590.6</v>
      </c>
      <c r="J32" s="344">
        <f>J21</f>
        <v>1764.4</v>
      </c>
      <c r="L32" s="185"/>
      <c r="M32" s="212"/>
    </row>
    <row r="33" spans="1:14" ht="28.5" customHeight="1" x14ac:dyDescent="0.25">
      <c r="A33" s="32" t="s">
        <v>1</v>
      </c>
      <c r="B33" s="471" t="s">
        <v>304</v>
      </c>
      <c r="C33" s="472"/>
      <c r="D33" s="120">
        <v>0.3</v>
      </c>
      <c r="E33" s="34">
        <v>434.28</v>
      </c>
      <c r="F33" s="34">
        <v>450.12</v>
      </c>
      <c r="G33" s="34">
        <v>450.12</v>
      </c>
      <c r="H33" s="329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5">
      <c r="A34" s="32" t="s">
        <v>2</v>
      </c>
      <c r="B34" s="471" t="s">
        <v>305</v>
      </c>
      <c r="C34" s="472"/>
      <c r="D34" s="33"/>
      <c r="E34" s="34">
        <v>13.71</v>
      </c>
      <c r="F34" s="34">
        <v>14.21</v>
      </c>
      <c r="G34" s="34">
        <v>14.21</v>
      </c>
      <c r="H34" s="329">
        <v>15.06</v>
      </c>
      <c r="I34" s="34">
        <v>15.06</v>
      </c>
      <c r="J34" s="34">
        <f>ROUND((J32/220)/6*M16,2)</f>
        <v>16.71</v>
      </c>
      <c r="L34" s="170"/>
      <c r="M34" s="170"/>
      <c r="N34" s="170"/>
    </row>
    <row r="35" spans="1:14" ht="42" customHeight="1" x14ac:dyDescent="0.25">
      <c r="A35" s="32" t="s">
        <v>3</v>
      </c>
      <c r="B35" s="471" t="s">
        <v>306</v>
      </c>
      <c r="C35" s="472"/>
      <c r="D35" s="33"/>
      <c r="E35" s="34">
        <v>0</v>
      </c>
      <c r="F35" s="34">
        <v>0</v>
      </c>
      <c r="G35" s="34">
        <v>0</v>
      </c>
      <c r="H35" s="329">
        <v>0</v>
      </c>
      <c r="I35" s="34">
        <v>0</v>
      </c>
      <c r="J35" s="34">
        <v>0</v>
      </c>
      <c r="L35" s="170"/>
      <c r="M35" s="170"/>
    </row>
    <row r="36" spans="1:14" ht="56.25" customHeight="1" x14ac:dyDescent="0.25">
      <c r="A36" s="32" t="s">
        <v>4</v>
      </c>
      <c r="B36" s="471" t="s">
        <v>307</v>
      </c>
      <c r="C36" s="472"/>
      <c r="D36" s="33"/>
      <c r="E36" s="34">
        <v>0</v>
      </c>
      <c r="F36" s="34">
        <v>0</v>
      </c>
      <c r="G36" s="34">
        <v>0</v>
      </c>
      <c r="H36" s="329">
        <v>0</v>
      </c>
      <c r="I36" s="34">
        <v>0</v>
      </c>
      <c r="J36" s="34">
        <v>0</v>
      </c>
    </row>
    <row r="37" spans="1:14" ht="13" x14ac:dyDescent="0.25">
      <c r="A37" s="32" t="s">
        <v>5</v>
      </c>
      <c r="B37" s="471" t="s">
        <v>50</v>
      </c>
      <c r="C37" s="472"/>
      <c r="D37" s="33"/>
      <c r="E37" s="34">
        <v>2.29</v>
      </c>
      <c r="F37" s="34">
        <v>2.37</v>
      </c>
      <c r="G37" s="34">
        <v>2.37</v>
      </c>
      <c r="H37" s="329">
        <v>2.5099999999999998</v>
      </c>
      <c r="I37" s="34">
        <v>2.5099999999999998</v>
      </c>
      <c r="J37" s="34">
        <f>ROUND((J34+J35+J36)*16.67%,2)</f>
        <v>2.79</v>
      </c>
      <c r="K37" s="170">
        <f>ROUND((J34)*16.67%,2)</f>
        <v>2.79</v>
      </c>
      <c r="M37" s="9"/>
    </row>
    <row r="38" spans="1:14" ht="13" x14ac:dyDescent="0.25">
      <c r="A38" s="32" t="s">
        <v>6</v>
      </c>
      <c r="B38" s="471" t="s">
        <v>216</v>
      </c>
      <c r="C38" s="472"/>
      <c r="D38" s="33"/>
      <c r="E38" s="34">
        <v>0</v>
      </c>
      <c r="F38" s="34">
        <v>0</v>
      </c>
      <c r="G38" s="34">
        <v>0</v>
      </c>
      <c r="H38" s="329">
        <v>0</v>
      </c>
      <c r="I38" s="34">
        <v>0</v>
      </c>
      <c r="J38" s="34">
        <v>0</v>
      </c>
      <c r="M38" s="9"/>
    </row>
    <row r="39" spans="1:14" ht="13" x14ac:dyDescent="0.25">
      <c r="A39" s="475" t="s">
        <v>157</v>
      </c>
      <c r="B39" s="476"/>
      <c r="C39" s="476"/>
      <c r="D39" s="477"/>
      <c r="E39" s="35">
        <v>1897.88</v>
      </c>
      <c r="F39" s="31">
        <v>1967.1</v>
      </c>
      <c r="G39" s="35">
        <v>1967.1</v>
      </c>
      <c r="H39" s="35">
        <v>2085.35</v>
      </c>
      <c r="I39" s="35">
        <f>ROUND(SUM(I32:I38),2)</f>
        <v>2085.35</v>
      </c>
      <c r="J39" s="35">
        <f>ROUND(SUM(J32:J38),2)</f>
        <v>2313.2199999999998</v>
      </c>
      <c r="K39" s="35">
        <f>ROUND(SUM(J32:J38),2)-J34-K37</f>
        <v>2293.7199999999998</v>
      </c>
      <c r="M39" s="9"/>
    </row>
    <row r="40" spans="1:14" x14ac:dyDescent="0.25">
      <c r="M40" s="9"/>
    </row>
    <row r="41" spans="1:14" ht="13" x14ac:dyDescent="0.25">
      <c r="A41" s="478" t="s">
        <v>68</v>
      </c>
      <c r="B41" s="479"/>
      <c r="C41" s="479"/>
      <c r="D41" s="479"/>
      <c r="E41" s="479"/>
      <c r="F41" s="479"/>
      <c r="G41" s="479"/>
      <c r="H41" s="479"/>
      <c r="I41" s="479"/>
      <c r="J41" s="480"/>
      <c r="M41" s="9"/>
    </row>
    <row r="42" spans="1:14" ht="13" x14ac:dyDescent="0.25">
      <c r="A42" s="478" t="s">
        <v>69</v>
      </c>
      <c r="B42" s="479"/>
      <c r="C42" s="480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ht="13" x14ac:dyDescent="0.25">
      <c r="A43" s="32" t="s">
        <v>0</v>
      </c>
      <c r="B43" s="471" t="s">
        <v>70</v>
      </c>
      <c r="C43" s="472"/>
      <c r="D43" s="36">
        <f>'Encargos Sociais'!C5</f>
        <v>8.3299999999999999E-2</v>
      </c>
      <c r="E43" s="34">
        <v>156.76</v>
      </c>
      <c r="F43" s="34">
        <v>162.47999999999999</v>
      </c>
      <c r="G43" s="34">
        <v>162.47999999999999</v>
      </c>
      <c r="H43" s="329">
        <v>172.25</v>
      </c>
      <c r="I43" s="34">
        <v>172.25</v>
      </c>
      <c r="J43" s="34">
        <f>ROUND(D43*$K$39,2)</f>
        <v>191.07</v>
      </c>
    </row>
    <row r="44" spans="1:14" ht="13" x14ac:dyDescent="0.25">
      <c r="A44" s="32" t="s">
        <v>1</v>
      </c>
      <c r="B44" s="471" t="s">
        <v>49</v>
      </c>
      <c r="C44" s="472"/>
      <c r="D44" s="36">
        <f>'Encargos Sociais'!C11</f>
        <v>0.121</v>
      </c>
      <c r="E44" s="34">
        <v>227.71</v>
      </c>
      <c r="F44" s="34">
        <v>236.01</v>
      </c>
      <c r="G44" s="34">
        <v>236.01</v>
      </c>
      <c r="H44" s="329">
        <v>250.2</v>
      </c>
      <c r="I44" s="34">
        <v>250.2</v>
      </c>
      <c r="J44" s="34">
        <f>ROUND(D44*$K$39,2)</f>
        <v>277.54000000000002</v>
      </c>
      <c r="M44" s="9"/>
    </row>
    <row r="45" spans="1:14" ht="12.75" customHeight="1" x14ac:dyDescent="0.25">
      <c r="A45" s="475" t="s">
        <v>156</v>
      </c>
      <c r="B45" s="476"/>
      <c r="C45" s="477"/>
      <c r="D45" s="37">
        <f>SUM(D43:D44)</f>
        <v>0.20429999999999998</v>
      </c>
      <c r="E45" s="35">
        <v>384.47</v>
      </c>
      <c r="F45" s="35">
        <v>398.49</v>
      </c>
      <c r="G45" s="35">
        <v>398.49</v>
      </c>
      <c r="H45" s="35">
        <v>422.45</v>
      </c>
      <c r="I45" s="35">
        <f>ROUND(SUM(I43:I44),2)</f>
        <v>422.45</v>
      </c>
      <c r="J45" s="35">
        <f>ROUND(SUM(J43:J44),2)</f>
        <v>468.61</v>
      </c>
      <c r="M45" s="9"/>
    </row>
    <row r="46" spans="1:14" x14ac:dyDescent="0.25">
      <c r="M46" s="9"/>
    </row>
    <row r="47" spans="1:14" ht="12.75" customHeight="1" x14ac:dyDescent="0.25">
      <c r="A47" s="478" t="s">
        <v>71</v>
      </c>
      <c r="B47" s="479"/>
      <c r="C47" s="480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ht="13" x14ac:dyDescent="0.25">
      <c r="A48" s="32" t="s">
        <v>0</v>
      </c>
      <c r="B48" s="489" t="s">
        <v>16</v>
      </c>
      <c r="C48" s="490"/>
      <c r="D48" s="36">
        <f>'Encargos Sociais'!C16</f>
        <v>0.2</v>
      </c>
      <c r="E48" s="34">
        <v>376.38</v>
      </c>
      <c r="F48" s="34">
        <v>390.1</v>
      </c>
      <c r="G48" s="34">
        <v>390.1</v>
      </c>
      <c r="H48" s="329">
        <v>413.56</v>
      </c>
      <c r="I48" s="34">
        <v>413.56</v>
      </c>
      <c r="J48" s="34">
        <f t="shared" ref="J48:J55" si="0">ROUND(D48*($K$39),2)</f>
        <v>458.74</v>
      </c>
      <c r="M48" s="9"/>
    </row>
    <row r="49" spans="1:13" ht="13" x14ac:dyDescent="0.25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47.05</v>
      </c>
      <c r="F49" s="34">
        <v>48.76</v>
      </c>
      <c r="G49" s="34">
        <v>48.76</v>
      </c>
      <c r="H49" s="329">
        <v>51.69</v>
      </c>
      <c r="I49" s="34">
        <v>51.69</v>
      </c>
      <c r="J49" s="34">
        <f t="shared" si="0"/>
        <v>57.34</v>
      </c>
    </row>
    <row r="50" spans="1:13" ht="13" x14ac:dyDescent="0.25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76.78</v>
      </c>
      <c r="F50" s="34">
        <v>79.58</v>
      </c>
      <c r="G50" s="34">
        <v>79.58</v>
      </c>
      <c r="H50" s="329">
        <v>84.37</v>
      </c>
      <c r="I50" s="34">
        <v>84.37</v>
      </c>
      <c r="J50" s="34">
        <f t="shared" si="0"/>
        <v>93.58</v>
      </c>
    </row>
    <row r="51" spans="1:13" ht="13" x14ac:dyDescent="0.25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28.23</v>
      </c>
      <c r="F51" s="34">
        <v>29.26</v>
      </c>
      <c r="G51" s="34">
        <v>29.26</v>
      </c>
      <c r="H51" s="329">
        <v>31.02</v>
      </c>
      <c r="I51" s="34">
        <v>31.02</v>
      </c>
      <c r="J51" s="34">
        <f t="shared" si="0"/>
        <v>34.409999999999997</v>
      </c>
    </row>
    <row r="52" spans="1:13" ht="13" x14ac:dyDescent="0.25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18.82</v>
      </c>
      <c r="F52" s="34">
        <v>19.510000000000002</v>
      </c>
      <c r="G52" s="34">
        <v>19.510000000000002</v>
      </c>
      <c r="H52" s="329">
        <v>20.68</v>
      </c>
      <c r="I52" s="34">
        <v>20.68</v>
      </c>
      <c r="J52" s="34">
        <f t="shared" si="0"/>
        <v>22.94</v>
      </c>
    </row>
    <row r="53" spans="1:13" ht="13" x14ac:dyDescent="0.25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11.29</v>
      </c>
      <c r="F53" s="34">
        <v>11.7</v>
      </c>
      <c r="G53" s="34">
        <v>11.7</v>
      </c>
      <c r="H53" s="329">
        <v>12.41</v>
      </c>
      <c r="I53" s="34">
        <v>12.41</v>
      </c>
      <c r="J53" s="34">
        <f t="shared" si="0"/>
        <v>13.76</v>
      </c>
    </row>
    <row r="54" spans="1:13" ht="13" x14ac:dyDescent="0.25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3.76</v>
      </c>
      <c r="F54" s="34">
        <v>3.9</v>
      </c>
      <c r="G54" s="34">
        <v>3.9</v>
      </c>
      <c r="H54" s="329">
        <v>4.1399999999999997</v>
      </c>
      <c r="I54" s="34">
        <v>4.1399999999999997</v>
      </c>
      <c r="J54" s="34">
        <f t="shared" si="0"/>
        <v>4.59</v>
      </c>
    </row>
    <row r="55" spans="1:13" ht="13" x14ac:dyDescent="0.25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150.55000000000001</v>
      </c>
      <c r="F55" s="34">
        <v>156.04</v>
      </c>
      <c r="G55" s="34">
        <v>156.04</v>
      </c>
      <c r="H55" s="329">
        <v>165.42</v>
      </c>
      <c r="I55" s="34">
        <v>165.42</v>
      </c>
      <c r="J55" s="34">
        <f t="shared" si="0"/>
        <v>183.5</v>
      </c>
    </row>
    <row r="56" spans="1:13" ht="12.75" customHeight="1" x14ac:dyDescent="0.25">
      <c r="A56" s="475" t="s">
        <v>156</v>
      </c>
      <c r="B56" s="476"/>
      <c r="C56" s="477"/>
      <c r="D56" s="37">
        <f>SUM(D48:D55)</f>
        <v>0.37880000000000008</v>
      </c>
      <c r="E56" s="35">
        <v>712.86</v>
      </c>
      <c r="F56" s="35">
        <v>738.85</v>
      </c>
      <c r="G56" s="35">
        <v>738.85</v>
      </c>
      <c r="H56" s="35">
        <v>783.29</v>
      </c>
      <c r="I56" s="35">
        <f>ROUND(SUM(I48:I55),2)</f>
        <v>783.29</v>
      </c>
      <c r="J56" s="35">
        <f>ROUND(SUM(J48:J55),2)</f>
        <v>868.86</v>
      </c>
      <c r="K56" s="210"/>
      <c r="L56" s="20"/>
    </row>
    <row r="58" spans="1:13" ht="12.75" customHeight="1" x14ac:dyDescent="0.25">
      <c r="A58" s="478" t="s">
        <v>75</v>
      </c>
      <c r="B58" s="479"/>
      <c r="C58" s="480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5">
      <c r="A59" s="32" t="s">
        <v>0</v>
      </c>
      <c r="B59" s="471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12,5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72"/>
      <c r="D59" s="38" t="s">
        <v>76</v>
      </c>
      <c r="E59" s="34">
        <v>20.64</v>
      </c>
      <c r="F59" s="34">
        <v>17.48</v>
      </c>
      <c r="G59" s="34">
        <v>27.48</v>
      </c>
      <c r="H59" s="329">
        <v>22.06</v>
      </c>
      <c r="I59" s="34">
        <v>24.56</v>
      </c>
      <c r="J59" s="34">
        <f>IF(M17&lt;=0,0,IF(M17&gt;0,M17))</f>
        <v>14.14</v>
      </c>
      <c r="K59" s="39"/>
      <c r="L59" s="40"/>
    </row>
    <row r="60" spans="1:13" ht="54" customHeight="1" x14ac:dyDescent="0.25">
      <c r="A60" s="32" t="s">
        <v>1</v>
      </c>
      <c r="B60" s="471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12,5 Dias Trabalhados) - (20% do desconto legal) ]</v>
      </c>
      <c r="C60" s="472"/>
      <c r="D60" s="38" t="s">
        <v>76</v>
      </c>
      <c r="E60" s="34">
        <v>192.3</v>
      </c>
      <c r="F60" s="329">
        <v>200</v>
      </c>
      <c r="G60" s="329">
        <v>200</v>
      </c>
      <c r="H60" s="329">
        <v>215</v>
      </c>
      <c r="I60" s="329">
        <v>215</v>
      </c>
      <c r="J60" s="344">
        <f>M23</f>
        <v>239.3</v>
      </c>
      <c r="K60" s="39"/>
      <c r="L60" s="40"/>
      <c r="M60" s="41"/>
    </row>
    <row r="61" spans="1:13" ht="13" x14ac:dyDescent="0.25">
      <c r="A61" s="32" t="s">
        <v>2</v>
      </c>
      <c r="B61" s="471" t="s">
        <v>314</v>
      </c>
      <c r="C61" s="472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5">
      <c r="A62" s="475" t="s">
        <v>156</v>
      </c>
      <c r="B62" s="476"/>
      <c r="C62" s="477"/>
      <c r="D62" s="42"/>
      <c r="E62" s="35">
        <v>215.44</v>
      </c>
      <c r="F62" s="35">
        <v>219.98</v>
      </c>
      <c r="G62" s="35">
        <v>229.98</v>
      </c>
      <c r="H62" s="35">
        <v>239.56</v>
      </c>
      <c r="I62" s="35">
        <f>ROUND(SUM(I59:I61),2)</f>
        <v>242.06</v>
      </c>
      <c r="J62" s="35">
        <f>ROUND(SUM(J59:J61),2)</f>
        <v>255.94</v>
      </c>
    </row>
    <row r="64" spans="1:13" ht="12.75" customHeight="1" x14ac:dyDescent="0.25">
      <c r="A64" s="486" t="s">
        <v>77</v>
      </c>
      <c r="B64" s="486"/>
      <c r="C64" s="486"/>
      <c r="D64" s="486"/>
      <c r="E64" s="486"/>
      <c r="F64" s="486"/>
      <c r="G64" s="486"/>
      <c r="H64" s="486"/>
      <c r="I64" s="486"/>
      <c r="J64" s="486"/>
    </row>
    <row r="65" spans="1:10" ht="12.75" customHeight="1" x14ac:dyDescent="0.25">
      <c r="A65" s="486" t="s">
        <v>78</v>
      </c>
      <c r="B65" s="486"/>
      <c r="C65" s="486"/>
      <c r="D65" s="486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ht="13" x14ac:dyDescent="0.25">
      <c r="A66" s="214" t="s">
        <v>79</v>
      </c>
      <c r="B66" s="481" t="s">
        <v>80</v>
      </c>
      <c r="C66" s="481"/>
      <c r="D66" s="481"/>
      <c r="E66" s="230">
        <v>384.47</v>
      </c>
      <c r="F66" s="25">
        <v>398.49</v>
      </c>
      <c r="G66" s="25">
        <v>398.49</v>
      </c>
      <c r="H66" s="323">
        <v>422.45</v>
      </c>
      <c r="I66" s="25">
        <v>422.45</v>
      </c>
      <c r="J66" s="25">
        <f>J45</f>
        <v>468.61</v>
      </c>
    </row>
    <row r="67" spans="1:10" ht="13" x14ac:dyDescent="0.25">
      <c r="A67" s="214" t="s">
        <v>81</v>
      </c>
      <c r="B67" s="481" t="s">
        <v>82</v>
      </c>
      <c r="C67" s="481"/>
      <c r="D67" s="481"/>
      <c r="E67" s="230">
        <v>712.86</v>
      </c>
      <c r="F67" s="25">
        <v>738.85</v>
      </c>
      <c r="G67" s="25">
        <v>738.85</v>
      </c>
      <c r="H67" s="323">
        <v>783.29</v>
      </c>
      <c r="I67" s="25">
        <v>783.29</v>
      </c>
      <c r="J67" s="25">
        <f>J56</f>
        <v>868.86</v>
      </c>
    </row>
    <row r="68" spans="1:10" ht="13" x14ac:dyDescent="0.25">
      <c r="A68" s="214" t="s">
        <v>83</v>
      </c>
      <c r="B68" s="481" t="s">
        <v>25</v>
      </c>
      <c r="C68" s="481"/>
      <c r="D68" s="481"/>
      <c r="E68" s="230">
        <v>215.44</v>
      </c>
      <c r="F68" s="25">
        <v>219.98</v>
      </c>
      <c r="G68" s="25">
        <v>229.98</v>
      </c>
      <c r="H68" s="323">
        <v>239.56</v>
      </c>
      <c r="I68" s="25">
        <v>242.06</v>
      </c>
      <c r="J68" s="25">
        <f>J62</f>
        <v>255.94</v>
      </c>
    </row>
    <row r="69" spans="1:10" ht="12.75" customHeight="1" x14ac:dyDescent="0.25">
      <c r="A69" s="474" t="s">
        <v>156</v>
      </c>
      <c r="B69" s="474"/>
      <c r="C69" s="474"/>
      <c r="D69" s="474"/>
      <c r="E69" s="241">
        <v>1312.77</v>
      </c>
      <c r="F69" s="128">
        <v>1357.32</v>
      </c>
      <c r="G69" s="35">
        <v>1367.32</v>
      </c>
      <c r="H69" s="35">
        <v>1445.3</v>
      </c>
      <c r="I69" s="35">
        <f>ROUND(SUM(I66:I68),2)</f>
        <v>1447.8</v>
      </c>
      <c r="J69" s="35">
        <f>ROUND(SUM(J66:J68),2)</f>
        <v>1593.41</v>
      </c>
    </row>
    <row r="71" spans="1:10" ht="13" x14ac:dyDescent="0.25">
      <c r="A71" s="478" t="s">
        <v>84</v>
      </c>
      <c r="B71" s="479"/>
      <c r="C71" s="479"/>
      <c r="D71" s="479"/>
      <c r="E71" s="479"/>
      <c r="F71" s="479"/>
      <c r="G71" s="479"/>
      <c r="H71" s="479"/>
      <c r="I71" s="479"/>
      <c r="J71" s="480"/>
    </row>
    <row r="72" spans="1:10" ht="13" x14ac:dyDescent="0.25">
      <c r="A72" s="29">
        <v>3</v>
      </c>
      <c r="B72" s="478" t="s">
        <v>85</v>
      </c>
      <c r="C72" s="480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ht="13" x14ac:dyDescent="0.25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7.9</v>
      </c>
      <c r="F73" s="34">
        <v>8.19</v>
      </c>
      <c r="G73" s="34">
        <v>8.19</v>
      </c>
      <c r="H73" s="329">
        <v>8.68</v>
      </c>
      <c r="I73" s="34">
        <v>8.68</v>
      </c>
      <c r="J73" s="34">
        <f t="shared" ref="J73:J78" si="1">ROUND(D73*$K$39,2)</f>
        <v>9.6300000000000008</v>
      </c>
    </row>
    <row r="74" spans="1:10" ht="13" x14ac:dyDescent="0.25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0.56000000000000005</v>
      </c>
      <c r="F74" s="34">
        <v>0.59</v>
      </c>
      <c r="G74" s="34">
        <v>0.59</v>
      </c>
      <c r="H74" s="329">
        <v>0.62</v>
      </c>
      <c r="I74" s="34">
        <v>0.62</v>
      </c>
      <c r="J74" s="34">
        <f t="shared" si="1"/>
        <v>0.69</v>
      </c>
    </row>
    <row r="75" spans="1:10" ht="13" x14ac:dyDescent="0.25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4.5199999999999996</v>
      </c>
      <c r="F75" s="34">
        <v>4.68</v>
      </c>
      <c r="G75" s="34">
        <v>3.74</v>
      </c>
      <c r="H75" s="329">
        <v>3.97</v>
      </c>
      <c r="I75" s="34">
        <v>3.97</v>
      </c>
      <c r="J75" s="34">
        <f t="shared" si="1"/>
        <v>4.4000000000000004</v>
      </c>
    </row>
    <row r="76" spans="1:10" ht="13" x14ac:dyDescent="0.25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3.01</v>
      </c>
      <c r="F76" s="34">
        <v>3.12</v>
      </c>
      <c r="G76" s="34">
        <v>3.12</v>
      </c>
      <c r="H76" s="329">
        <v>3.31</v>
      </c>
      <c r="I76" s="34">
        <v>3.31</v>
      </c>
      <c r="J76" s="34">
        <f t="shared" si="1"/>
        <v>3.67</v>
      </c>
    </row>
    <row r="77" spans="1:10" ht="25.5" customHeight="1" x14ac:dyDescent="0.25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1.1299999999999999</v>
      </c>
      <c r="F77" s="34">
        <v>1.17</v>
      </c>
      <c r="G77" s="34">
        <v>1.17</v>
      </c>
      <c r="H77" s="329">
        <v>1.24</v>
      </c>
      <c r="I77" s="34">
        <v>1.24</v>
      </c>
      <c r="J77" s="34">
        <f t="shared" si="1"/>
        <v>1.38</v>
      </c>
    </row>
    <row r="78" spans="1:10" ht="13" x14ac:dyDescent="0.25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89.58</v>
      </c>
      <c r="F78" s="34">
        <v>92.84</v>
      </c>
      <c r="G78" s="34">
        <v>74.28</v>
      </c>
      <c r="H78" s="329">
        <v>78.739999999999995</v>
      </c>
      <c r="I78" s="34">
        <v>78.739999999999995</v>
      </c>
      <c r="J78" s="34">
        <f t="shared" si="1"/>
        <v>87.34</v>
      </c>
    </row>
    <row r="79" spans="1:10" ht="12.75" customHeight="1" x14ac:dyDescent="0.25">
      <c r="A79" s="475" t="s">
        <v>156</v>
      </c>
      <c r="B79" s="476"/>
      <c r="C79" s="477"/>
      <c r="D79" s="37">
        <f>SUM(D73:D78)</f>
        <v>4.6699999999999992E-2</v>
      </c>
      <c r="E79" s="31">
        <v>106.7</v>
      </c>
      <c r="F79" s="35">
        <v>110.59</v>
      </c>
      <c r="G79" s="35">
        <v>91.09</v>
      </c>
      <c r="H79" s="35">
        <v>96.56</v>
      </c>
      <c r="I79" s="35">
        <f>ROUND(SUM(I73:I78),2)</f>
        <v>96.56</v>
      </c>
      <c r="J79" s="35">
        <f>ROUND(SUM(J73:J78),2)</f>
        <v>107.11</v>
      </c>
    </row>
    <row r="81" spans="1:10" ht="13" x14ac:dyDescent="0.25">
      <c r="A81" s="478" t="s">
        <v>92</v>
      </c>
      <c r="B81" s="479"/>
      <c r="C81" s="479"/>
      <c r="D81" s="479"/>
      <c r="E81" s="479"/>
      <c r="F81" s="479"/>
      <c r="G81" s="479"/>
      <c r="H81" s="479"/>
      <c r="I81" s="479"/>
      <c r="J81" s="480"/>
    </row>
    <row r="82" spans="1:10" ht="13" x14ac:dyDescent="0.25">
      <c r="A82" s="46"/>
      <c r="B82" s="478" t="s">
        <v>93</v>
      </c>
      <c r="C82" s="480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ht="13" x14ac:dyDescent="0.25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19.010000000000002</v>
      </c>
      <c r="F83" s="34">
        <v>19.7</v>
      </c>
      <c r="G83" s="34">
        <v>19.7</v>
      </c>
      <c r="H83" s="329">
        <v>20.88</v>
      </c>
      <c r="I83" s="34">
        <v>20.88</v>
      </c>
      <c r="J83" s="34">
        <f t="shared" ref="J83:J88" si="2">ROUND(D83*$K$39,2)</f>
        <v>23.17</v>
      </c>
    </row>
    <row r="84" spans="1:10" ht="13" x14ac:dyDescent="0.25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10.54</v>
      </c>
      <c r="F84" s="34">
        <v>10.92</v>
      </c>
      <c r="G84" s="34">
        <v>10.92</v>
      </c>
      <c r="H84" s="329">
        <v>11.58</v>
      </c>
      <c r="I84" s="34">
        <v>11.58</v>
      </c>
      <c r="J84" s="34">
        <f t="shared" si="2"/>
        <v>12.84</v>
      </c>
    </row>
    <row r="85" spans="1:10" ht="13" x14ac:dyDescent="0.25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26.16</v>
      </c>
      <c r="F85" s="34">
        <v>27.11</v>
      </c>
      <c r="G85" s="34">
        <v>27.11</v>
      </c>
      <c r="H85" s="329">
        <v>28.74</v>
      </c>
      <c r="I85" s="34">
        <v>28.74</v>
      </c>
      <c r="J85" s="34">
        <f t="shared" si="2"/>
        <v>31.88</v>
      </c>
    </row>
    <row r="86" spans="1:10" ht="13" x14ac:dyDescent="0.25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3.2</v>
      </c>
      <c r="F86" s="34">
        <v>3.32</v>
      </c>
      <c r="G86" s="34">
        <v>3.32</v>
      </c>
      <c r="H86" s="329">
        <v>3.52</v>
      </c>
      <c r="I86" s="34">
        <v>3.52</v>
      </c>
      <c r="J86" s="34">
        <f t="shared" si="2"/>
        <v>3.9</v>
      </c>
    </row>
    <row r="87" spans="1:10" ht="13" x14ac:dyDescent="0.25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3.95</v>
      </c>
      <c r="F87" s="34">
        <v>4.0999999999999996</v>
      </c>
      <c r="G87" s="34">
        <v>4.0999999999999996</v>
      </c>
      <c r="H87" s="329">
        <v>4.34</v>
      </c>
      <c r="I87" s="34">
        <v>4.34</v>
      </c>
      <c r="J87" s="34">
        <f t="shared" si="2"/>
        <v>4.82</v>
      </c>
    </row>
    <row r="88" spans="1:10" ht="13" x14ac:dyDescent="0.25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1.32</v>
      </c>
      <c r="F88" s="34">
        <v>1.37</v>
      </c>
      <c r="G88" s="34">
        <v>1.37</v>
      </c>
      <c r="H88" s="329">
        <v>1.45</v>
      </c>
      <c r="I88" s="34">
        <v>1.45</v>
      </c>
      <c r="J88" s="34">
        <f t="shared" si="2"/>
        <v>1.61</v>
      </c>
    </row>
    <row r="89" spans="1:10" ht="12.75" customHeight="1" x14ac:dyDescent="0.25">
      <c r="A89" s="475" t="s">
        <v>156</v>
      </c>
      <c r="B89" s="476"/>
      <c r="C89" s="477"/>
      <c r="D89" s="37">
        <f>SUM(D83:D88)</f>
        <v>3.4099999999999991E-2</v>
      </c>
      <c r="E89" s="35">
        <v>64.180000000000007</v>
      </c>
      <c r="F89" s="35">
        <v>66.52</v>
      </c>
      <c r="G89" s="35">
        <v>66.52</v>
      </c>
      <c r="H89" s="35">
        <v>70.510000000000005</v>
      </c>
      <c r="I89" s="35">
        <f>ROUND(SUM(I83:I88),2)</f>
        <v>70.510000000000005</v>
      </c>
      <c r="J89" s="35">
        <f>ROUND(SUM(J83:J88),2)</f>
        <v>78.22</v>
      </c>
    </row>
    <row r="90" spans="1:10" x14ac:dyDescent="0.25">
      <c r="E90" s="10"/>
      <c r="F90" s="10"/>
    </row>
    <row r="91" spans="1:10" ht="12.75" customHeight="1" x14ac:dyDescent="0.25">
      <c r="A91" s="478" t="s">
        <v>93</v>
      </c>
      <c r="B91" s="479"/>
      <c r="C91" s="479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5">
      <c r="A92" s="32" t="s">
        <v>6</v>
      </c>
      <c r="B92" s="471" t="s">
        <v>155</v>
      </c>
      <c r="C92" s="487"/>
      <c r="D92" s="129">
        <f>((D56)*(D45+D89))</f>
        <v>9.0305920000000012E-2</v>
      </c>
      <c r="E92" s="34">
        <v>169.94</v>
      </c>
      <c r="F92" s="34">
        <v>176.14</v>
      </c>
      <c r="G92" s="34">
        <v>176.14</v>
      </c>
      <c r="H92" s="329">
        <v>186.73</v>
      </c>
      <c r="I92" s="34">
        <v>186.73</v>
      </c>
      <c r="J92" s="34">
        <f>ROUND(D92*$K$39,2)</f>
        <v>207.14</v>
      </c>
    </row>
    <row r="93" spans="1:10" ht="12.75" customHeight="1" x14ac:dyDescent="0.25">
      <c r="A93" s="475" t="s">
        <v>156</v>
      </c>
      <c r="B93" s="476"/>
      <c r="C93" s="476"/>
      <c r="D93" s="130">
        <f>D92</f>
        <v>9.0305920000000012E-2</v>
      </c>
      <c r="E93" s="128">
        <v>169.94</v>
      </c>
      <c r="F93" s="128">
        <v>176.14</v>
      </c>
      <c r="G93" s="128">
        <v>176.14</v>
      </c>
      <c r="H93" s="128">
        <v>186.73</v>
      </c>
      <c r="I93" s="128">
        <f>ROUND(SUM(I92:I92),2)</f>
        <v>186.73</v>
      </c>
      <c r="J93" s="128">
        <f>ROUND(SUM(J92:J92),2)</f>
        <v>207.14</v>
      </c>
    </row>
    <row r="94" spans="1:10" x14ac:dyDescent="0.25">
      <c r="E94" s="10"/>
      <c r="F94" s="10"/>
    </row>
    <row r="95" spans="1:10" ht="12.75" customHeight="1" x14ac:dyDescent="0.25">
      <c r="A95" s="478" t="s">
        <v>142</v>
      </c>
      <c r="B95" s="479"/>
      <c r="C95" s="479"/>
      <c r="D95" s="480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ht="13" x14ac:dyDescent="0.25">
      <c r="A96" s="32" t="s">
        <v>0</v>
      </c>
      <c r="B96" s="471" t="s">
        <v>253</v>
      </c>
      <c r="C96" s="487"/>
      <c r="D96" s="472"/>
      <c r="E96" s="34">
        <v>61.69</v>
      </c>
      <c r="F96" s="34">
        <v>63.94</v>
      </c>
      <c r="G96" s="34">
        <v>63.94</v>
      </c>
      <c r="H96" s="329">
        <v>67.78</v>
      </c>
      <c r="I96" s="34">
        <f>ROUND((I21/220)*M16*1.5*0.25,2)</f>
        <v>33.89</v>
      </c>
      <c r="J96" s="34">
        <f>ROUND((J21/220)*M16*1.5*0.5,2)</f>
        <v>75.19</v>
      </c>
    </row>
    <row r="97" spans="1:11" ht="12.75" customHeight="1" x14ac:dyDescent="0.25">
      <c r="A97" s="475" t="s">
        <v>156</v>
      </c>
      <c r="B97" s="476"/>
      <c r="C97" s="476"/>
      <c r="D97" s="477"/>
      <c r="E97" s="35">
        <v>61.69</v>
      </c>
      <c r="F97" s="35">
        <v>63.94</v>
      </c>
      <c r="G97" s="35">
        <v>63.94</v>
      </c>
      <c r="H97" s="35">
        <v>67.78</v>
      </c>
      <c r="I97" s="35">
        <f>ROUND(SUM(I96:I96),2)</f>
        <v>33.89</v>
      </c>
      <c r="J97" s="35">
        <f>ROUND(SUM(J96:J96),2)</f>
        <v>75.19</v>
      </c>
    </row>
    <row r="98" spans="1:11" ht="33" customHeight="1" x14ac:dyDescent="0.25">
      <c r="A98" s="488" t="s">
        <v>143</v>
      </c>
      <c r="B98" s="488"/>
      <c r="C98" s="488"/>
      <c r="D98" s="488"/>
      <c r="E98" s="488"/>
      <c r="F98" s="488"/>
      <c r="G98" s="488"/>
      <c r="H98" s="488"/>
      <c r="I98" s="488"/>
      <c r="J98" s="488"/>
    </row>
    <row r="100" spans="1:11" ht="12.75" customHeight="1" x14ac:dyDescent="0.25">
      <c r="A100" s="486" t="s">
        <v>99</v>
      </c>
      <c r="B100" s="486"/>
      <c r="C100" s="486"/>
      <c r="D100" s="486"/>
      <c r="E100" s="486"/>
      <c r="F100" s="486"/>
      <c r="G100" s="486"/>
      <c r="H100" s="486"/>
      <c r="I100" s="486"/>
      <c r="J100" s="486"/>
    </row>
    <row r="101" spans="1:11" ht="12.75" customHeight="1" x14ac:dyDescent="0.25">
      <c r="A101" s="486" t="s">
        <v>100</v>
      </c>
      <c r="B101" s="486"/>
      <c r="C101" s="486"/>
      <c r="D101" s="486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1" ht="13" x14ac:dyDescent="0.25">
      <c r="A102" s="48" t="s">
        <v>26</v>
      </c>
      <c r="B102" s="481" t="s">
        <v>95</v>
      </c>
      <c r="C102" s="481"/>
      <c r="D102" s="481"/>
      <c r="E102" s="25">
        <v>234.12</v>
      </c>
      <c r="F102" s="25">
        <v>242.66</v>
      </c>
      <c r="G102" s="25">
        <v>242.66</v>
      </c>
      <c r="H102" s="323">
        <v>257.24</v>
      </c>
      <c r="I102" s="25">
        <v>257.24</v>
      </c>
      <c r="J102" s="25">
        <f>ROUND(J89+J93,2)</f>
        <v>285.36</v>
      </c>
    </row>
    <row r="103" spans="1:11" ht="13" x14ac:dyDescent="0.25">
      <c r="A103" s="48" t="s">
        <v>27</v>
      </c>
      <c r="B103" s="481" t="s">
        <v>101</v>
      </c>
      <c r="C103" s="481"/>
      <c r="D103" s="481"/>
      <c r="E103" s="25">
        <v>61.69</v>
      </c>
      <c r="F103" s="25">
        <v>63.94</v>
      </c>
      <c r="G103" s="25">
        <v>63.94</v>
      </c>
      <c r="H103" s="323">
        <v>67.78</v>
      </c>
      <c r="I103" s="25">
        <f>I97</f>
        <v>33.89</v>
      </c>
      <c r="J103" s="25">
        <f>J97</f>
        <v>75.19</v>
      </c>
    </row>
    <row r="104" spans="1:11" ht="12.75" customHeight="1" x14ac:dyDescent="0.25">
      <c r="A104" s="474" t="s">
        <v>102</v>
      </c>
      <c r="B104" s="474"/>
      <c r="C104" s="474"/>
      <c r="D104" s="474"/>
      <c r="E104" s="35">
        <v>295.81</v>
      </c>
      <c r="F104" s="35">
        <v>306.60000000000002</v>
      </c>
      <c r="G104" s="35">
        <v>306.60000000000002</v>
      </c>
      <c r="H104" s="35">
        <v>325.02</v>
      </c>
      <c r="I104" s="35">
        <f>ROUND(SUM(I102:I103),2)</f>
        <v>291.13</v>
      </c>
      <c r="J104" s="35">
        <f>ROUND(SUM(J102:J103),2)</f>
        <v>360.55</v>
      </c>
    </row>
    <row r="106" spans="1:11" ht="13" x14ac:dyDescent="0.25">
      <c r="A106" s="478" t="s">
        <v>103</v>
      </c>
      <c r="B106" s="479"/>
      <c r="C106" s="479"/>
      <c r="D106" s="479"/>
      <c r="E106" s="479"/>
      <c r="F106" s="479"/>
      <c r="G106" s="479"/>
      <c r="H106" s="479"/>
      <c r="I106" s="479"/>
      <c r="J106" s="480"/>
    </row>
    <row r="107" spans="1:11" ht="13" x14ac:dyDescent="0.25">
      <c r="A107" s="29">
        <v>5</v>
      </c>
      <c r="B107" s="478" t="s">
        <v>104</v>
      </c>
      <c r="C107" s="480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</row>
    <row r="108" spans="1:11" ht="13" x14ac:dyDescent="0.25">
      <c r="A108" s="32" t="s">
        <v>0</v>
      </c>
      <c r="B108" s="471" t="s">
        <v>129</v>
      </c>
      <c r="C108" s="472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18.72</v>
      </c>
    </row>
    <row r="109" spans="1:11" ht="13" x14ac:dyDescent="0.25">
      <c r="A109" s="32" t="s">
        <v>1</v>
      </c>
      <c r="B109" s="471" t="s">
        <v>190</v>
      </c>
      <c r="C109" s="472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329">
        <v>17.690000000000001</v>
      </c>
      <c r="I109" s="34">
        <v>17.690000000000001</v>
      </c>
      <c r="J109" s="347">
        <f>'Uniformes e Equiptos'!H41</f>
        <v>19.46</v>
      </c>
      <c r="K109" s="49"/>
    </row>
    <row r="110" spans="1:11" ht="13" x14ac:dyDescent="0.25">
      <c r="A110" s="32" t="s">
        <v>2</v>
      </c>
      <c r="B110" s="471" t="s">
        <v>187</v>
      </c>
      <c r="C110" s="472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</row>
    <row r="111" spans="1:11" ht="12.75" customHeight="1" x14ac:dyDescent="0.25">
      <c r="A111" s="475" t="s">
        <v>156</v>
      </c>
      <c r="B111" s="476"/>
      <c r="C111" s="477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38.18</v>
      </c>
    </row>
    <row r="113" spans="1:12" ht="13" x14ac:dyDescent="0.25">
      <c r="A113" s="478" t="s">
        <v>105</v>
      </c>
      <c r="B113" s="479"/>
      <c r="C113" s="479"/>
      <c r="D113" s="479"/>
      <c r="E113" s="479"/>
      <c r="F113" s="479"/>
      <c r="G113" s="479"/>
      <c r="H113" s="479"/>
      <c r="I113" s="479"/>
      <c r="J113" s="480"/>
    </row>
    <row r="114" spans="1:12" ht="13" x14ac:dyDescent="0.25">
      <c r="A114" s="29">
        <v>6</v>
      </c>
      <c r="B114" s="478" t="s">
        <v>106</v>
      </c>
      <c r="C114" s="480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</row>
    <row r="115" spans="1:12" ht="28.5" customHeight="1" x14ac:dyDescent="0.25">
      <c r="A115" s="32" t="s">
        <v>0</v>
      </c>
      <c r="B115" s="471" t="s">
        <v>301</v>
      </c>
      <c r="C115" s="472"/>
      <c r="D115" s="51">
        <v>0.03</v>
      </c>
      <c r="E115" s="34">
        <v>109.44</v>
      </c>
      <c r="F115" s="34">
        <v>113.29</v>
      </c>
      <c r="G115" s="34">
        <v>113</v>
      </c>
      <c r="H115" s="329">
        <v>119.61</v>
      </c>
      <c r="I115" s="34">
        <v>119.68</v>
      </c>
      <c r="J115" s="34">
        <f>ROUND(J130*D115,2)</f>
        <v>132.37</v>
      </c>
      <c r="K115" s="132"/>
      <c r="L115" s="138"/>
    </row>
    <row r="116" spans="1:12" ht="13" x14ac:dyDescent="0.25">
      <c r="A116" s="32" t="s">
        <v>1</v>
      </c>
      <c r="B116" s="52" t="s">
        <v>12</v>
      </c>
      <c r="C116" s="53"/>
      <c r="D116" s="51">
        <v>1.0200000000000001E-2</v>
      </c>
      <c r="E116" s="34">
        <v>38.32</v>
      </c>
      <c r="F116" s="34">
        <v>39.67</v>
      </c>
      <c r="G116" s="34">
        <v>39.57</v>
      </c>
      <c r="H116" s="329">
        <v>41.89</v>
      </c>
      <c r="I116" s="34">
        <v>41.91</v>
      </c>
      <c r="J116" s="34">
        <f>ROUND((J130+J115)*D116,2)</f>
        <v>46.36</v>
      </c>
      <c r="K116" s="133"/>
      <c r="L116" s="139"/>
    </row>
    <row r="117" spans="1:12" ht="13" x14ac:dyDescent="0.25">
      <c r="A117" s="32" t="s">
        <v>2</v>
      </c>
      <c r="B117" s="483" t="s">
        <v>302</v>
      </c>
      <c r="C117" s="484"/>
      <c r="D117" s="54"/>
      <c r="E117" s="55"/>
      <c r="F117" s="55"/>
      <c r="G117" s="55"/>
      <c r="H117" s="330"/>
      <c r="I117" s="55"/>
      <c r="J117" s="55"/>
    </row>
    <row r="118" spans="1:12" ht="13" x14ac:dyDescent="0.25">
      <c r="A118" s="32" t="s">
        <v>107</v>
      </c>
      <c r="B118" s="471" t="s">
        <v>13</v>
      </c>
      <c r="C118" s="472"/>
      <c r="D118" s="51">
        <v>6.4999999999999997E-3</v>
      </c>
      <c r="E118" s="34">
        <v>26.29</v>
      </c>
      <c r="F118" s="34">
        <v>27.21</v>
      </c>
      <c r="G118" s="34">
        <v>27.15</v>
      </c>
      <c r="H118" s="329">
        <v>28.73</v>
      </c>
      <c r="I118" s="34">
        <v>28.75</v>
      </c>
      <c r="J118" s="34">
        <f>ROUND((($J$130+$J$115+$J$116)/(1-($D$118+$D$119+$D$120)))*D118,2)</f>
        <v>31.8</v>
      </c>
      <c r="K118" s="469"/>
      <c r="L118" s="470"/>
    </row>
    <row r="119" spans="1:12" ht="13" x14ac:dyDescent="0.25">
      <c r="A119" s="32" t="s">
        <v>108</v>
      </c>
      <c r="B119" s="471" t="s">
        <v>14</v>
      </c>
      <c r="C119" s="472"/>
      <c r="D119" s="51">
        <v>0.03</v>
      </c>
      <c r="E119" s="34">
        <v>121.33</v>
      </c>
      <c r="F119" s="34">
        <v>125.6</v>
      </c>
      <c r="G119" s="34">
        <v>125.29</v>
      </c>
      <c r="H119" s="329">
        <v>132.61000000000001</v>
      </c>
      <c r="I119" s="34">
        <v>132.69</v>
      </c>
      <c r="J119" s="34">
        <f>ROUND((($J$130+$J$115+$J$116)/(1-($D$118+$D$119+$D$120)))*D119,2)</f>
        <v>146.76</v>
      </c>
      <c r="K119" s="469"/>
      <c r="L119" s="470"/>
    </row>
    <row r="120" spans="1:12" ht="13" x14ac:dyDescent="0.25">
      <c r="A120" s="32" t="s">
        <v>109</v>
      </c>
      <c r="B120" s="471" t="s">
        <v>30</v>
      </c>
      <c r="C120" s="472"/>
      <c r="D120" s="51">
        <f>M9</f>
        <v>2.5000000000000001E-2</v>
      </c>
      <c r="E120" s="34">
        <v>101.11</v>
      </c>
      <c r="F120" s="34">
        <v>104.67</v>
      </c>
      <c r="G120" s="34">
        <v>104.41</v>
      </c>
      <c r="H120" s="329">
        <v>110.51</v>
      </c>
      <c r="I120" s="34">
        <v>110.58</v>
      </c>
      <c r="J120" s="34">
        <f>ROUND((($J$130+$J$115+$J$116)/(1-($D$118+$D$119+$D$120)))*D120,2)</f>
        <v>122.3</v>
      </c>
    </row>
    <row r="121" spans="1:12" ht="12.75" customHeight="1" x14ac:dyDescent="0.25">
      <c r="A121" s="475" t="s">
        <v>157</v>
      </c>
      <c r="B121" s="476"/>
      <c r="C121" s="477"/>
      <c r="D121" s="47">
        <f>SUM(D115:D120)</f>
        <v>0.10169999999999998</v>
      </c>
      <c r="E121" s="31">
        <v>396.49</v>
      </c>
      <c r="F121" s="31">
        <v>410.44</v>
      </c>
      <c r="G121" s="31">
        <v>409.41999999999996</v>
      </c>
      <c r="H121" s="31">
        <v>433.35</v>
      </c>
      <c r="I121" s="31">
        <f>SUM(I115:I120)</f>
        <v>433.60999999999996</v>
      </c>
      <c r="J121" s="31">
        <f>SUM(J115:J120)</f>
        <v>479.59000000000003</v>
      </c>
    </row>
    <row r="123" spans="1:12" ht="12.75" customHeight="1" x14ac:dyDescent="0.25">
      <c r="A123" s="486" t="s">
        <v>110</v>
      </c>
      <c r="B123" s="486"/>
      <c r="C123" s="486"/>
      <c r="D123" s="486"/>
      <c r="E123" s="486"/>
      <c r="F123" s="486"/>
      <c r="G123" s="486"/>
      <c r="H123" s="486"/>
      <c r="I123" s="486"/>
      <c r="J123" s="486"/>
    </row>
    <row r="124" spans="1:12" ht="12.75" customHeight="1" x14ac:dyDescent="0.25">
      <c r="A124" s="486" t="s">
        <v>111</v>
      </c>
      <c r="B124" s="486"/>
      <c r="C124" s="486"/>
      <c r="D124" s="486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2" x14ac:dyDescent="0.25">
      <c r="A125" s="216" t="s">
        <v>0</v>
      </c>
      <c r="B125" s="481" t="s">
        <v>65</v>
      </c>
      <c r="C125" s="481"/>
      <c r="D125" s="481"/>
      <c r="E125" s="25">
        <v>1897.88</v>
      </c>
      <c r="F125" s="25">
        <v>1967.1</v>
      </c>
      <c r="G125" s="25">
        <v>1967.1</v>
      </c>
      <c r="H125" s="323">
        <v>2085.35</v>
      </c>
      <c r="I125" s="25">
        <v>2085.35</v>
      </c>
      <c r="J125" s="25">
        <f>J39</f>
        <v>2313.2199999999998</v>
      </c>
    </row>
    <row r="126" spans="1:12" x14ac:dyDescent="0.25">
      <c r="A126" s="216" t="s">
        <v>1</v>
      </c>
      <c r="B126" s="481" t="s">
        <v>68</v>
      </c>
      <c r="C126" s="481"/>
      <c r="D126" s="481"/>
      <c r="E126" s="25">
        <v>1312.77</v>
      </c>
      <c r="F126" s="25">
        <v>1357.32</v>
      </c>
      <c r="G126" s="25">
        <v>1367.32</v>
      </c>
      <c r="H126" s="323">
        <v>1445.3</v>
      </c>
      <c r="I126" s="25">
        <v>1447.8</v>
      </c>
      <c r="J126" s="25">
        <f>J69</f>
        <v>1593.41</v>
      </c>
    </row>
    <row r="127" spans="1:12" x14ac:dyDescent="0.25">
      <c r="A127" s="216" t="s">
        <v>2</v>
      </c>
      <c r="B127" s="481" t="s">
        <v>84</v>
      </c>
      <c r="C127" s="481"/>
      <c r="D127" s="481"/>
      <c r="E127" s="25">
        <v>106.7</v>
      </c>
      <c r="F127" s="25">
        <v>110.59</v>
      </c>
      <c r="G127" s="25">
        <v>91.09</v>
      </c>
      <c r="H127" s="323">
        <v>96.56</v>
      </c>
      <c r="I127" s="25">
        <v>96.56</v>
      </c>
      <c r="J127" s="25">
        <f>J79</f>
        <v>107.11</v>
      </c>
    </row>
    <row r="128" spans="1:12" x14ac:dyDescent="0.25">
      <c r="A128" s="56" t="s">
        <v>3</v>
      </c>
      <c r="B128" s="481" t="s">
        <v>92</v>
      </c>
      <c r="C128" s="481"/>
      <c r="D128" s="481"/>
      <c r="E128" s="25">
        <v>295.81</v>
      </c>
      <c r="F128" s="25">
        <v>306.60000000000002</v>
      </c>
      <c r="G128" s="25">
        <v>306.60000000000002</v>
      </c>
      <c r="H128" s="323">
        <v>325.02</v>
      </c>
      <c r="I128" s="25">
        <v>325.02</v>
      </c>
      <c r="J128" s="25">
        <f>J104</f>
        <v>360.55</v>
      </c>
      <c r="L128" s="218"/>
    </row>
    <row r="129" spans="1:12" x14ac:dyDescent="0.25">
      <c r="A129" s="57" t="s">
        <v>4</v>
      </c>
      <c r="B129" s="481" t="s">
        <v>103</v>
      </c>
      <c r="C129" s="481"/>
      <c r="D129" s="481"/>
      <c r="E129" s="58">
        <v>34.69</v>
      </c>
      <c r="F129" s="58">
        <v>34.69</v>
      </c>
      <c r="G129" s="58">
        <v>34.69</v>
      </c>
      <c r="H129" s="331">
        <v>34.69</v>
      </c>
      <c r="I129" s="58">
        <v>34.69</v>
      </c>
      <c r="J129" s="58">
        <f>J111</f>
        <v>38.18</v>
      </c>
      <c r="L129" s="218"/>
    </row>
    <row r="130" spans="1:12" ht="13" x14ac:dyDescent="0.25">
      <c r="A130" s="59"/>
      <c r="B130" s="482" t="s">
        <v>112</v>
      </c>
      <c r="C130" s="482"/>
      <c r="D130" s="482"/>
      <c r="E130" s="60">
        <v>3647.85</v>
      </c>
      <c r="F130" s="60">
        <v>3776.3</v>
      </c>
      <c r="G130" s="60">
        <v>3766.8</v>
      </c>
      <c r="H130" s="60">
        <v>3986.9199999999996</v>
      </c>
      <c r="I130" s="60">
        <v>3989.4199999999996</v>
      </c>
      <c r="J130" s="60">
        <f>SUM(J125:J129)</f>
        <v>4412.47</v>
      </c>
    </row>
    <row r="131" spans="1:12" x14ac:dyDescent="0.25">
      <c r="A131" s="216" t="s">
        <v>5</v>
      </c>
      <c r="B131" s="481" t="s">
        <v>105</v>
      </c>
      <c r="C131" s="481"/>
      <c r="D131" s="481"/>
      <c r="E131" s="25">
        <v>396.49</v>
      </c>
      <c r="F131" s="25">
        <v>410.44</v>
      </c>
      <c r="G131" s="25">
        <v>409.41999999999996</v>
      </c>
      <c r="H131" s="323">
        <v>433.35</v>
      </c>
      <c r="I131" s="25">
        <v>433.60999999999996</v>
      </c>
      <c r="J131" s="25">
        <f>J121</f>
        <v>479.59000000000003</v>
      </c>
    </row>
    <row r="132" spans="1:12" ht="13" x14ac:dyDescent="0.25">
      <c r="A132" s="474" t="s">
        <v>113</v>
      </c>
      <c r="B132" s="474"/>
      <c r="C132" s="474"/>
      <c r="D132" s="474"/>
      <c r="E132" s="119">
        <v>4044.34</v>
      </c>
      <c r="F132" s="119">
        <v>4186.74</v>
      </c>
      <c r="G132" s="119">
        <v>4176.22</v>
      </c>
      <c r="H132" s="119">
        <v>4420.2700000000004</v>
      </c>
      <c r="I132" s="119">
        <v>4423.03</v>
      </c>
      <c r="J132" s="119">
        <f>ROUND(SUM(J130:J131),2)</f>
        <v>4892.0600000000004</v>
      </c>
    </row>
    <row r="133" spans="1:12" ht="13" x14ac:dyDescent="0.25">
      <c r="A133" s="485" t="s">
        <v>140</v>
      </c>
      <c r="B133" s="485"/>
      <c r="C133" s="485"/>
      <c r="D133" s="485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ht="13" x14ac:dyDescent="0.25">
      <c r="A134" s="473" t="s">
        <v>141</v>
      </c>
      <c r="B134" s="473"/>
      <c r="C134" s="473"/>
      <c r="D134" s="473"/>
      <c r="E134" s="235">
        <v>8088.68</v>
      </c>
      <c r="F134" s="235">
        <v>8373.48</v>
      </c>
      <c r="G134" s="111">
        <v>8352.44</v>
      </c>
      <c r="H134" s="111">
        <v>8840.5400000000009</v>
      </c>
      <c r="I134" s="111">
        <f>ROUND(I132*I133,2)</f>
        <v>8846.06</v>
      </c>
      <c r="J134" s="111">
        <f>ROUND(J132*J133,2)</f>
        <v>9784.1200000000008</v>
      </c>
    </row>
  </sheetData>
  <mergeCells count="123">
    <mergeCell ref="A1:J1"/>
    <mergeCell ref="A3:C3"/>
    <mergeCell ref="D3:J3"/>
    <mergeCell ref="L3:M3"/>
    <mergeCell ref="A4:C4"/>
    <mergeCell ref="D4:J4"/>
    <mergeCell ref="A5:J5"/>
    <mergeCell ref="A6:J6"/>
    <mergeCell ref="A7:J7"/>
    <mergeCell ref="A8:J8"/>
    <mergeCell ref="B9:D9"/>
    <mergeCell ref="B10:D10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30:J30"/>
    <mergeCell ref="B31:C31"/>
    <mergeCell ref="B32:C32"/>
    <mergeCell ref="B33:C33"/>
    <mergeCell ref="B34:C34"/>
    <mergeCell ref="B35:C35"/>
    <mergeCell ref="B36:C36"/>
    <mergeCell ref="B37:C37"/>
    <mergeCell ref="B38:C38"/>
    <mergeCell ref="A39:D39"/>
    <mergeCell ref="A41:J41"/>
    <mergeCell ref="A42:C42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A95:D95"/>
    <mergeCell ref="B96:D96"/>
    <mergeCell ref="A97:D97"/>
    <mergeCell ref="A98:J98"/>
    <mergeCell ref="A100:J100"/>
    <mergeCell ref="A101:D101"/>
    <mergeCell ref="B102:D102"/>
    <mergeCell ref="B103:D103"/>
    <mergeCell ref="A104:D104"/>
    <mergeCell ref="A106:J106"/>
    <mergeCell ref="B107:C107"/>
    <mergeCell ref="B108:C108"/>
    <mergeCell ref="B109:C109"/>
    <mergeCell ref="B110:C110"/>
    <mergeCell ref="A111:C111"/>
    <mergeCell ref="A113:J113"/>
    <mergeCell ref="B114:C114"/>
    <mergeCell ref="B115:C115"/>
    <mergeCell ref="B117:C117"/>
    <mergeCell ref="B118:C118"/>
    <mergeCell ref="K118:L118"/>
    <mergeCell ref="B119:C119"/>
    <mergeCell ref="K119:L119"/>
    <mergeCell ref="B120:C120"/>
    <mergeCell ref="A121:C121"/>
    <mergeCell ref="A123:J123"/>
    <mergeCell ref="A124:D124"/>
    <mergeCell ref="B125:D125"/>
    <mergeCell ref="B126:D126"/>
    <mergeCell ref="A133:D133"/>
    <mergeCell ref="A134:D134"/>
    <mergeCell ref="B127:D127"/>
    <mergeCell ref="B128:D128"/>
    <mergeCell ref="B129:D129"/>
    <mergeCell ref="B130:D130"/>
    <mergeCell ref="B131:D131"/>
    <mergeCell ref="A132:D132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5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5">
    <tabColor theme="3"/>
  </sheetPr>
  <dimension ref="A1:P134"/>
  <sheetViews>
    <sheetView view="pageBreakPreview" topLeftCell="D98" zoomScale="90" zoomScaleNormal="100" zoomScaleSheetLayoutView="90" workbookViewId="0">
      <selection activeCell="J108" sqref="J108"/>
    </sheetView>
  </sheetViews>
  <sheetFormatPr defaultColWidth="9.1796875" defaultRowHeight="12.5" x14ac:dyDescent="0.25"/>
  <cols>
    <col min="1" max="1" width="7.1796875" style="9" customWidth="1"/>
    <col min="2" max="2" width="24.1796875" style="9" customWidth="1"/>
    <col min="3" max="3" width="34.81640625" style="9" customWidth="1"/>
    <col min="4" max="4" width="13.26953125" style="9" customWidth="1"/>
    <col min="5" max="6" width="19" style="9" hidden="1" customWidth="1"/>
    <col min="7" max="7" width="22.1796875" style="10" hidden="1" customWidth="1"/>
    <col min="8" max="8" width="22.1796875" style="322" hidden="1" customWidth="1"/>
    <col min="9" max="10" width="22.1796875" style="10" customWidth="1"/>
    <col min="11" max="11" width="21.453125" style="9" customWidth="1"/>
    <col min="12" max="12" width="33.453125" style="9" bestFit="1" customWidth="1"/>
    <col min="13" max="13" width="15.7265625" style="137" customWidth="1"/>
    <col min="14" max="14" width="17" style="9" customWidth="1"/>
    <col min="15" max="16384" width="9.1796875" style="9"/>
  </cols>
  <sheetData>
    <row r="1" spans="1:16" ht="13" x14ac:dyDescent="0.25">
      <c r="A1" s="493" t="s">
        <v>241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6" ht="13" x14ac:dyDescent="0.25">
      <c r="A2" s="134"/>
      <c r="B2" s="134"/>
      <c r="C2" s="134"/>
      <c r="D2" s="134"/>
      <c r="E2" s="228"/>
      <c r="F2" s="243"/>
      <c r="G2" s="305"/>
      <c r="H2" s="305"/>
      <c r="I2" s="318"/>
      <c r="J2" s="134"/>
      <c r="N2" s="123"/>
    </row>
    <row r="3" spans="1:16" ht="13" x14ac:dyDescent="0.25">
      <c r="A3" s="495" t="s">
        <v>242</v>
      </c>
      <c r="B3" s="496"/>
      <c r="C3" s="497"/>
      <c r="D3" s="498" t="s">
        <v>239</v>
      </c>
      <c r="E3" s="498"/>
      <c r="F3" s="498"/>
      <c r="G3" s="498"/>
      <c r="H3" s="498"/>
      <c r="I3" s="498"/>
      <c r="J3" s="498"/>
      <c r="L3" s="494"/>
      <c r="M3" s="494"/>
      <c r="N3" s="124"/>
    </row>
    <row r="4" spans="1:16" ht="13" x14ac:dyDescent="0.25">
      <c r="A4" s="495" t="s">
        <v>243</v>
      </c>
      <c r="B4" s="496"/>
      <c r="C4" s="497"/>
      <c r="D4" s="499" t="s">
        <v>240</v>
      </c>
      <c r="E4" s="499"/>
      <c r="F4" s="499"/>
      <c r="G4" s="499"/>
      <c r="H4" s="499"/>
      <c r="I4" s="499"/>
      <c r="J4" s="499"/>
      <c r="L4" s="185"/>
      <c r="M4" s="186"/>
    </row>
    <row r="5" spans="1:16" ht="13" x14ac:dyDescent="0.25">
      <c r="A5" s="495" t="s">
        <v>245</v>
      </c>
      <c r="B5" s="496"/>
      <c r="C5" s="496"/>
      <c r="D5" s="496"/>
      <c r="E5" s="496"/>
      <c r="F5" s="496"/>
      <c r="G5" s="496"/>
      <c r="H5" s="496"/>
      <c r="I5" s="496"/>
      <c r="J5" s="497"/>
      <c r="L5" s="185"/>
      <c r="M5" s="186"/>
      <c r="N5" s="124"/>
    </row>
    <row r="6" spans="1:16" ht="13" x14ac:dyDescent="0.25">
      <c r="A6" s="495" t="s">
        <v>244</v>
      </c>
      <c r="B6" s="496"/>
      <c r="C6" s="496"/>
      <c r="D6" s="496"/>
      <c r="E6" s="496"/>
      <c r="F6" s="496"/>
      <c r="G6" s="496"/>
      <c r="H6" s="496"/>
      <c r="I6" s="496"/>
      <c r="J6" s="497"/>
      <c r="L6" s="185"/>
      <c r="M6" s="211"/>
    </row>
    <row r="7" spans="1:16" x14ac:dyDescent="0.25">
      <c r="A7" s="500"/>
      <c r="B7" s="500"/>
      <c r="C7" s="500"/>
      <c r="D7" s="500"/>
      <c r="E7" s="500"/>
      <c r="F7" s="500"/>
      <c r="G7" s="500"/>
      <c r="H7" s="500"/>
      <c r="I7" s="500"/>
      <c r="J7" s="500"/>
      <c r="L7" s="185"/>
      <c r="M7" s="186"/>
      <c r="N7" s="10"/>
      <c r="P7" s="113"/>
    </row>
    <row r="8" spans="1:16" ht="12.75" customHeight="1" thickBot="1" x14ac:dyDescent="0.3">
      <c r="A8" s="486" t="s">
        <v>55</v>
      </c>
      <c r="B8" s="486"/>
      <c r="C8" s="486"/>
      <c r="D8" s="486"/>
      <c r="E8" s="486"/>
      <c r="F8" s="486"/>
      <c r="G8" s="486"/>
      <c r="H8" s="486"/>
      <c r="I8" s="486"/>
      <c r="J8" s="486"/>
      <c r="K8" s="11"/>
      <c r="L8" s="4"/>
      <c r="M8" s="62"/>
      <c r="N8" s="112"/>
      <c r="P8" s="113"/>
    </row>
    <row r="9" spans="1:16" ht="12.75" customHeight="1" thickTop="1" x14ac:dyDescent="0.25">
      <c r="A9" s="135" t="s">
        <v>0</v>
      </c>
      <c r="B9" s="481" t="s">
        <v>56</v>
      </c>
      <c r="C9" s="481"/>
      <c r="D9" s="481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ht="13" x14ac:dyDescent="0.25">
      <c r="A10" s="135" t="s">
        <v>1</v>
      </c>
      <c r="B10" s="481" t="s">
        <v>57</v>
      </c>
      <c r="C10" s="481"/>
      <c r="D10" s="481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3">
      <c r="A11" s="135" t="s">
        <v>2</v>
      </c>
      <c r="B11" s="481" t="s">
        <v>58</v>
      </c>
      <c r="C11" s="481"/>
      <c r="D11" s="481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3">
      <c r="A12" s="16" t="s">
        <v>3</v>
      </c>
      <c r="B12" s="481" t="s">
        <v>59</v>
      </c>
      <c r="C12" s="481"/>
      <c r="D12" s="481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5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5">
      <c r="A14" s="486" t="s">
        <v>21</v>
      </c>
      <c r="B14" s="486"/>
      <c r="C14" s="486"/>
      <c r="D14" s="486"/>
      <c r="E14" s="486"/>
      <c r="F14" s="486"/>
      <c r="G14" s="486"/>
      <c r="H14" s="486"/>
      <c r="I14" s="486"/>
      <c r="J14" s="486"/>
      <c r="K14" s="11"/>
      <c r="L14" s="5" t="s">
        <v>32</v>
      </c>
      <c r="M14" s="66">
        <v>4.8</v>
      </c>
    </row>
    <row r="15" spans="1:16" s="20" customFormat="1" ht="36.75" customHeight="1" x14ac:dyDescent="0.25">
      <c r="A15" s="485" t="s">
        <v>22</v>
      </c>
      <c r="B15" s="485"/>
      <c r="C15" s="135" t="s">
        <v>23</v>
      </c>
      <c r="D15" s="485" t="s">
        <v>61</v>
      </c>
      <c r="E15" s="485"/>
      <c r="F15" s="485"/>
      <c r="G15" s="485"/>
      <c r="H15" s="485"/>
      <c r="I15" s="485"/>
      <c r="J15" s="485"/>
      <c r="K15" s="11"/>
      <c r="L15" s="5" t="s">
        <v>33</v>
      </c>
      <c r="M15" s="64">
        <v>0.06</v>
      </c>
    </row>
    <row r="16" spans="1:16" ht="37.5" x14ac:dyDescent="0.25">
      <c r="A16" s="492" t="s">
        <v>145</v>
      </c>
      <c r="B16" s="492"/>
      <c r="C16" s="136" t="s">
        <v>189</v>
      </c>
      <c r="D16" s="492">
        <v>2</v>
      </c>
      <c r="E16" s="492"/>
      <c r="F16" s="492"/>
      <c r="G16" s="492"/>
      <c r="H16" s="492"/>
      <c r="I16" s="492"/>
      <c r="J16" s="492"/>
      <c r="K16" s="14"/>
      <c r="L16" s="5" t="s">
        <v>34</v>
      </c>
      <c r="M16" s="72">
        <v>15</v>
      </c>
    </row>
    <row r="17" spans="1:13" ht="13.5" thickBot="1" x14ac:dyDescent="0.3">
      <c r="L17" s="7" t="s">
        <v>35</v>
      </c>
      <c r="M17" s="67">
        <f>ROUND((M13*M14*M16)-(M15*J32),2)</f>
        <v>38.14</v>
      </c>
    </row>
    <row r="18" spans="1:13" ht="29.25" customHeight="1" thickTop="1" thickBot="1" x14ac:dyDescent="0.3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5">
      <c r="A19" s="22">
        <v>1</v>
      </c>
      <c r="B19" s="491" t="s">
        <v>7</v>
      </c>
      <c r="C19" s="491"/>
      <c r="D19" s="491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ht="13" x14ac:dyDescent="0.25">
      <c r="A20" s="24">
        <v>2</v>
      </c>
      <c r="B20" s="481" t="s">
        <v>63</v>
      </c>
      <c r="C20" s="481"/>
      <c r="D20" s="481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15</v>
      </c>
    </row>
    <row r="21" spans="1:13" ht="13" x14ac:dyDescent="0.25">
      <c r="A21" s="22">
        <v>3</v>
      </c>
      <c r="B21" s="481" t="s">
        <v>64</v>
      </c>
      <c r="C21" s="481"/>
      <c r="D21" s="481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358.95</v>
      </c>
    </row>
    <row r="22" spans="1:13" ht="13" x14ac:dyDescent="0.25">
      <c r="A22" s="24">
        <v>4</v>
      </c>
      <c r="B22" s="481" t="s">
        <v>8</v>
      </c>
      <c r="C22" s="481"/>
      <c r="D22" s="481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71.790000000000006</v>
      </c>
    </row>
    <row r="23" spans="1:13" ht="13.5" thickBot="1" x14ac:dyDescent="0.3">
      <c r="A23" s="22">
        <v>5</v>
      </c>
      <c r="B23" s="481" t="s">
        <v>9</v>
      </c>
      <c r="C23" s="481"/>
      <c r="D23" s="481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287.15999999999997</v>
      </c>
    </row>
    <row r="24" spans="1:13" ht="13.5" thickTop="1" x14ac:dyDescent="0.25">
      <c r="A24" s="24">
        <v>6</v>
      </c>
      <c r="B24" s="491" t="s">
        <v>248</v>
      </c>
      <c r="C24" s="491"/>
      <c r="D24" s="491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ht="13" x14ac:dyDescent="0.25">
      <c r="A25" s="22">
        <v>7</v>
      </c>
      <c r="B25" s="481" t="s">
        <v>249</v>
      </c>
      <c r="C25" s="481"/>
      <c r="D25" s="481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ht="13" x14ac:dyDescent="0.25">
      <c r="A26" s="24">
        <v>8</v>
      </c>
      <c r="B26" s="481" t="s">
        <v>250</v>
      </c>
      <c r="C26" s="481"/>
      <c r="D26" s="481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ht="13" x14ac:dyDescent="0.25">
      <c r="A27" s="22">
        <v>9</v>
      </c>
      <c r="B27" s="481" t="s">
        <v>251</v>
      </c>
      <c r="C27" s="481"/>
      <c r="D27" s="481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ht="13" x14ac:dyDescent="0.25">
      <c r="A28" s="24">
        <v>10</v>
      </c>
      <c r="B28" s="481" t="s">
        <v>252</v>
      </c>
      <c r="C28" s="481"/>
      <c r="D28" s="481"/>
      <c r="E28" s="188">
        <v>2</v>
      </c>
      <c r="F28" s="188">
        <v>2</v>
      </c>
      <c r="G28" s="188">
        <v>2</v>
      </c>
      <c r="H28" s="327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5">
      <c r="G29" s="169"/>
      <c r="H29" s="328"/>
      <c r="I29" s="169"/>
      <c r="J29" s="169"/>
      <c r="K29" s="233"/>
      <c r="L29" s="185"/>
      <c r="M29" s="207"/>
    </row>
    <row r="30" spans="1:13" ht="13" x14ac:dyDescent="0.25">
      <c r="A30" s="478" t="s">
        <v>65</v>
      </c>
      <c r="B30" s="479"/>
      <c r="C30" s="479"/>
      <c r="D30" s="479"/>
      <c r="E30" s="479"/>
      <c r="F30" s="479"/>
      <c r="G30" s="479"/>
      <c r="H30" s="479"/>
      <c r="I30" s="479"/>
      <c r="J30" s="480"/>
      <c r="L30" s="185"/>
      <c r="M30" s="207"/>
    </row>
    <row r="31" spans="1:13" ht="13" x14ac:dyDescent="0.25">
      <c r="A31" s="29">
        <v>1</v>
      </c>
      <c r="B31" s="478" t="s">
        <v>66</v>
      </c>
      <c r="C31" s="480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ht="13" x14ac:dyDescent="0.25">
      <c r="A32" s="32" t="s">
        <v>0</v>
      </c>
      <c r="B32" s="471" t="s">
        <v>24</v>
      </c>
      <c r="C32" s="472"/>
      <c r="D32" s="33"/>
      <c r="E32" s="34">
        <v>1447.6</v>
      </c>
      <c r="F32" s="329">
        <v>1500.4</v>
      </c>
      <c r="G32" s="329">
        <v>1500.4</v>
      </c>
      <c r="H32" s="329">
        <v>1590.6</v>
      </c>
      <c r="I32" s="329">
        <v>1590.6</v>
      </c>
      <c r="J32" s="344">
        <f>J21</f>
        <v>1764.4</v>
      </c>
      <c r="L32" s="185"/>
      <c r="M32" s="212"/>
    </row>
    <row r="33" spans="1:14" ht="28.5" customHeight="1" x14ac:dyDescent="0.25">
      <c r="A33" s="32" t="s">
        <v>1</v>
      </c>
      <c r="B33" s="471" t="s">
        <v>304</v>
      </c>
      <c r="C33" s="472"/>
      <c r="D33" s="120">
        <v>0.3</v>
      </c>
      <c r="E33" s="34">
        <v>434.28</v>
      </c>
      <c r="F33" s="34">
        <v>450.12</v>
      </c>
      <c r="G33" s="34">
        <v>450.12</v>
      </c>
      <c r="H33" s="329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5">
      <c r="A34" s="32" t="s">
        <v>2</v>
      </c>
      <c r="B34" s="471" t="s">
        <v>305</v>
      </c>
      <c r="C34" s="472"/>
      <c r="D34" s="33"/>
      <c r="E34" s="34">
        <v>16.45</v>
      </c>
      <c r="F34" s="34">
        <v>17.05</v>
      </c>
      <c r="G34" s="34">
        <v>17.05</v>
      </c>
      <c r="H34" s="329">
        <v>18.079999999999998</v>
      </c>
      <c r="I34" s="34">
        <v>18.079999999999998</v>
      </c>
      <c r="J34" s="34">
        <f>ROUND((J32/220)/6*15,2)</f>
        <v>20.05</v>
      </c>
      <c r="L34" s="170"/>
      <c r="M34" s="170"/>
      <c r="N34" s="170"/>
    </row>
    <row r="35" spans="1:14" ht="42" customHeight="1" x14ac:dyDescent="0.25">
      <c r="A35" s="32" t="s">
        <v>3</v>
      </c>
      <c r="B35" s="471" t="s">
        <v>306</v>
      </c>
      <c r="C35" s="472"/>
      <c r="D35" s="33"/>
      <c r="E35" s="34">
        <v>0</v>
      </c>
      <c r="F35" s="34">
        <v>0</v>
      </c>
      <c r="G35" s="34">
        <v>0</v>
      </c>
      <c r="H35" s="329">
        <v>0</v>
      </c>
      <c r="I35" s="34">
        <v>0</v>
      </c>
      <c r="J35" s="34">
        <v>0</v>
      </c>
      <c r="L35" s="170"/>
      <c r="M35" s="170"/>
    </row>
    <row r="36" spans="1:14" ht="56.25" customHeight="1" x14ac:dyDescent="0.25">
      <c r="A36" s="32" t="s">
        <v>4</v>
      </c>
      <c r="B36" s="471" t="s">
        <v>307</v>
      </c>
      <c r="C36" s="472"/>
      <c r="D36" s="33"/>
      <c r="E36" s="34">
        <v>0</v>
      </c>
      <c r="F36" s="34">
        <v>0</v>
      </c>
      <c r="G36" s="34">
        <v>0</v>
      </c>
      <c r="H36" s="329">
        <v>0</v>
      </c>
      <c r="I36" s="34">
        <v>0</v>
      </c>
      <c r="J36" s="34">
        <v>0</v>
      </c>
    </row>
    <row r="37" spans="1:14" ht="13" x14ac:dyDescent="0.25">
      <c r="A37" s="32" t="s">
        <v>5</v>
      </c>
      <c r="B37" s="471" t="s">
        <v>50</v>
      </c>
      <c r="C37" s="472"/>
      <c r="D37" s="33"/>
      <c r="E37" s="34">
        <v>2.74</v>
      </c>
      <c r="F37" s="34">
        <v>2.84</v>
      </c>
      <c r="G37" s="34">
        <v>2.84</v>
      </c>
      <c r="H37" s="329">
        <v>3.01</v>
      </c>
      <c r="I37" s="34">
        <v>3.01</v>
      </c>
      <c r="J37" s="34">
        <f>ROUND((J34+J35+J36)*16.67%,2)</f>
        <v>3.34</v>
      </c>
      <c r="K37" s="170">
        <f>ROUND((J34)*16.67%,2)</f>
        <v>3.34</v>
      </c>
      <c r="M37" s="9"/>
    </row>
    <row r="38" spans="1:14" ht="13" x14ac:dyDescent="0.25">
      <c r="A38" s="32" t="s">
        <v>6</v>
      </c>
      <c r="B38" s="471" t="s">
        <v>216</v>
      </c>
      <c r="C38" s="472"/>
      <c r="D38" s="33"/>
      <c r="E38" s="34">
        <v>0</v>
      </c>
      <c r="F38" s="34">
        <v>0</v>
      </c>
      <c r="G38" s="34">
        <v>0</v>
      </c>
      <c r="H38" s="329">
        <v>0</v>
      </c>
      <c r="I38" s="34">
        <v>0</v>
      </c>
      <c r="J38" s="34">
        <v>0</v>
      </c>
      <c r="M38" s="9"/>
    </row>
    <row r="39" spans="1:14" ht="13" x14ac:dyDescent="0.25">
      <c r="A39" s="475" t="s">
        <v>157</v>
      </c>
      <c r="B39" s="476"/>
      <c r="C39" s="476"/>
      <c r="D39" s="477"/>
      <c r="E39" s="35">
        <v>1901.07</v>
      </c>
      <c r="F39" s="31">
        <v>1970.41</v>
      </c>
      <c r="G39" s="35">
        <v>1970.41</v>
      </c>
      <c r="H39" s="35">
        <v>2088.87</v>
      </c>
      <c r="I39" s="35">
        <f>ROUND(SUM(I32:I38),2)</f>
        <v>2088.87</v>
      </c>
      <c r="J39" s="35">
        <f>ROUND(SUM(J32:J38),2)</f>
        <v>2317.11</v>
      </c>
      <c r="K39" s="35">
        <f>ROUND(SUM(J32:J38),2)-J34-K37</f>
        <v>2293.7199999999998</v>
      </c>
      <c r="M39" s="9"/>
    </row>
    <row r="40" spans="1:14" x14ac:dyDescent="0.25">
      <c r="M40" s="9"/>
    </row>
    <row r="41" spans="1:14" ht="13" x14ac:dyDescent="0.25">
      <c r="A41" s="478" t="s">
        <v>68</v>
      </c>
      <c r="B41" s="479"/>
      <c r="C41" s="479"/>
      <c r="D41" s="479"/>
      <c r="E41" s="479"/>
      <c r="F41" s="479"/>
      <c r="G41" s="479"/>
      <c r="H41" s="479"/>
      <c r="I41" s="479"/>
      <c r="J41" s="480"/>
      <c r="M41" s="9"/>
    </row>
    <row r="42" spans="1:14" ht="13" x14ac:dyDescent="0.25">
      <c r="A42" s="478" t="s">
        <v>69</v>
      </c>
      <c r="B42" s="479"/>
      <c r="C42" s="480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ht="13" x14ac:dyDescent="0.25">
      <c r="A43" s="32" t="s">
        <v>0</v>
      </c>
      <c r="B43" s="471" t="s">
        <v>70</v>
      </c>
      <c r="C43" s="472"/>
      <c r="D43" s="36">
        <f>'Encargos Sociais'!C5</f>
        <v>8.3299999999999999E-2</v>
      </c>
      <c r="E43" s="34">
        <v>156.76</v>
      </c>
      <c r="F43" s="34">
        <v>162.47999999999999</v>
      </c>
      <c r="G43" s="34">
        <v>162.47999999999999</v>
      </c>
      <c r="H43" s="329">
        <v>172.25</v>
      </c>
      <c r="I43" s="34">
        <v>172.25</v>
      </c>
      <c r="J43" s="34">
        <f>ROUND(D43*$K$39,2)</f>
        <v>191.07</v>
      </c>
    </row>
    <row r="44" spans="1:14" ht="13" x14ac:dyDescent="0.25">
      <c r="A44" s="32" t="s">
        <v>1</v>
      </c>
      <c r="B44" s="471" t="s">
        <v>49</v>
      </c>
      <c r="C44" s="472"/>
      <c r="D44" s="36">
        <f>'Encargos Sociais'!C11</f>
        <v>0.121</v>
      </c>
      <c r="E44" s="34">
        <v>227.71</v>
      </c>
      <c r="F44" s="34">
        <v>236.01</v>
      </c>
      <c r="G44" s="34">
        <v>236.01</v>
      </c>
      <c r="H44" s="329">
        <v>250.2</v>
      </c>
      <c r="I44" s="34">
        <v>250.2</v>
      </c>
      <c r="J44" s="34">
        <f>ROUND(D44*$K$39,2)</f>
        <v>277.54000000000002</v>
      </c>
      <c r="M44" s="9"/>
    </row>
    <row r="45" spans="1:14" ht="12.75" customHeight="1" x14ac:dyDescent="0.25">
      <c r="A45" s="475" t="s">
        <v>156</v>
      </c>
      <c r="B45" s="476"/>
      <c r="C45" s="477"/>
      <c r="D45" s="37">
        <f>SUM(D43:D44)</f>
        <v>0.20429999999999998</v>
      </c>
      <c r="E45" s="35">
        <v>384.47</v>
      </c>
      <c r="F45" s="35">
        <v>398.49</v>
      </c>
      <c r="G45" s="35">
        <v>398.49</v>
      </c>
      <c r="H45" s="35">
        <v>422.45</v>
      </c>
      <c r="I45" s="35">
        <f>ROUND(SUM(I43:I44),2)</f>
        <v>422.45</v>
      </c>
      <c r="J45" s="35">
        <f>ROUND(SUM(J43:J44),2)</f>
        <v>468.61</v>
      </c>
      <c r="M45" s="9"/>
    </row>
    <row r="46" spans="1:14" x14ac:dyDescent="0.25">
      <c r="M46" s="9"/>
    </row>
    <row r="47" spans="1:14" ht="12.75" customHeight="1" x14ac:dyDescent="0.25">
      <c r="A47" s="478" t="s">
        <v>71</v>
      </c>
      <c r="B47" s="479"/>
      <c r="C47" s="480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ht="13" x14ac:dyDescent="0.25">
      <c r="A48" s="32" t="s">
        <v>0</v>
      </c>
      <c r="B48" s="489" t="s">
        <v>16</v>
      </c>
      <c r="C48" s="490"/>
      <c r="D48" s="36">
        <f>'Encargos Sociais'!C16</f>
        <v>0.2</v>
      </c>
      <c r="E48" s="34">
        <v>376.38</v>
      </c>
      <c r="F48" s="34">
        <v>390.1</v>
      </c>
      <c r="G48" s="34">
        <v>390.1</v>
      </c>
      <c r="H48" s="329">
        <v>413.56</v>
      </c>
      <c r="I48" s="34">
        <v>413.56</v>
      </c>
      <c r="J48" s="34">
        <f t="shared" ref="J48:J55" si="0">ROUND(D48*($K$39),2)</f>
        <v>458.74</v>
      </c>
      <c r="M48" s="9"/>
    </row>
    <row r="49" spans="1:13" ht="13" x14ac:dyDescent="0.25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47.05</v>
      </c>
      <c r="F49" s="34">
        <v>48.76</v>
      </c>
      <c r="G49" s="34">
        <v>48.76</v>
      </c>
      <c r="H49" s="329">
        <v>51.69</v>
      </c>
      <c r="I49" s="34">
        <v>51.69</v>
      </c>
      <c r="J49" s="34">
        <f t="shared" si="0"/>
        <v>57.34</v>
      </c>
    </row>
    <row r="50" spans="1:13" ht="13" x14ac:dyDescent="0.25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76.78</v>
      </c>
      <c r="F50" s="34">
        <v>79.58</v>
      </c>
      <c r="G50" s="34">
        <v>79.58</v>
      </c>
      <c r="H50" s="329">
        <v>84.37</v>
      </c>
      <c r="I50" s="34">
        <v>84.37</v>
      </c>
      <c r="J50" s="34">
        <f t="shared" si="0"/>
        <v>93.58</v>
      </c>
    </row>
    <row r="51" spans="1:13" ht="13" x14ac:dyDescent="0.25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28.23</v>
      </c>
      <c r="F51" s="34">
        <v>29.26</v>
      </c>
      <c r="G51" s="34">
        <v>29.26</v>
      </c>
      <c r="H51" s="329">
        <v>31.02</v>
      </c>
      <c r="I51" s="34">
        <v>31.02</v>
      </c>
      <c r="J51" s="34">
        <f t="shared" si="0"/>
        <v>34.409999999999997</v>
      </c>
    </row>
    <row r="52" spans="1:13" ht="13" x14ac:dyDescent="0.25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18.82</v>
      </c>
      <c r="F52" s="34">
        <v>19.510000000000002</v>
      </c>
      <c r="G52" s="34">
        <v>19.510000000000002</v>
      </c>
      <c r="H52" s="329">
        <v>20.68</v>
      </c>
      <c r="I52" s="34">
        <v>20.68</v>
      </c>
      <c r="J52" s="34">
        <f t="shared" si="0"/>
        <v>22.94</v>
      </c>
    </row>
    <row r="53" spans="1:13" ht="13" x14ac:dyDescent="0.25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11.29</v>
      </c>
      <c r="F53" s="34">
        <v>11.7</v>
      </c>
      <c r="G53" s="34">
        <v>11.7</v>
      </c>
      <c r="H53" s="329">
        <v>12.41</v>
      </c>
      <c r="I53" s="34">
        <v>12.41</v>
      </c>
      <c r="J53" s="34">
        <f t="shared" si="0"/>
        <v>13.76</v>
      </c>
    </row>
    <row r="54" spans="1:13" ht="13" x14ac:dyDescent="0.25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3.76</v>
      </c>
      <c r="F54" s="34">
        <v>3.9</v>
      </c>
      <c r="G54" s="34">
        <v>3.9</v>
      </c>
      <c r="H54" s="329">
        <v>4.1399999999999997</v>
      </c>
      <c r="I54" s="34">
        <v>4.1399999999999997</v>
      </c>
      <c r="J54" s="34">
        <f t="shared" si="0"/>
        <v>4.59</v>
      </c>
    </row>
    <row r="55" spans="1:13" ht="13" x14ac:dyDescent="0.25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150.55000000000001</v>
      </c>
      <c r="F55" s="34">
        <v>156.04</v>
      </c>
      <c r="G55" s="34">
        <v>156.04</v>
      </c>
      <c r="H55" s="329">
        <v>165.42</v>
      </c>
      <c r="I55" s="34">
        <v>165.42</v>
      </c>
      <c r="J55" s="34">
        <f t="shared" si="0"/>
        <v>183.5</v>
      </c>
    </row>
    <row r="56" spans="1:13" ht="12.75" customHeight="1" x14ac:dyDescent="0.25">
      <c r="A56" s="475" t="s">
        <v>156</v>
      </c>
      <c r="B56" s="476"/>
      <c r="C56" s="477"/>
      <c r="D56" s="37">
        <f>SUM(D48:D55)</f>
        <v>0.37880000000000008</v>
      </c>
      <c r="E56" s="35">
        <v>712.86</v>
      </c>
      <c r="F56" s="35">
        <v>738.85</v>
      </c>
      <c r="G56" s="35">
        <v>738.85</v>
      </c>
      <c r="H56" s="35">
        <v>783.29</v>
      </c>
      <c r="I56" s="35">
        <f>ROUND(SUM(I48:I55),2)</f>
        <v>783.29</v>
      </c>
      <c r="J56" s="35">
        <f>ROUND(SUM(J48:J55),2)</f>
        <v>868.86</v>
      </c>
      <c r="K56" s="210"/>
      <c r="L56" s="20"/>
    </row>
    <row r="58" spans="1:13" ht="12.75" customHeight="1" x14ac:dyDescent="0.25">
      <c r="A58" s="478" t="s">
        <v>75</v>
      </c>
      <c r="B58" s="479"/>
      <c r="C58" s="480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5">
      <c r="A59" s="32" t="s">
        <v>0</v>
      </c>
      <c r="B59" s="471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72"/>
      <c r="D59" s="38" t="s">
        <v>76</v>
      </c>
      <c r="E59" s="34">
        <v>42.14</v>
      </c>
      <c r="F59" s="34">
        <v>38.979999999999997</v>
      </c>
      <c r="G59" s="34">
        <v>50.98</v>
      </c>
      <c r="H59" s="329">
        <v>45.56</v>
      </c>
      <c r="I59" s="34">
        <v>48.56</v>
      </c>
      <c r="J59" s="34">
        <f>IF(M17&lt;=0,0,IF(M17&gt;0,M17))</f>
        <v>38.14</v>
      </c>
      <c r="K59" s="39"/>
      <c r="L59" s="40"/>
    </row>
    <row r="60" spans="1:13" ht="54" customHeight="1" x14ac:dyDescent="0.25">
      <c r="A60" s="32" t="s">
        <v>1</v>
      </c>
      <c r="B60" s="471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15 Dias Trabalhados) - (20% do desconto legal) ]</v>
      </c>
      <c r="C60" s="472"/>
      <c r="D60" s="38" t="s">
        <v>76</v>
      </c>
      <c r="E60" s="34">
        <v>230.76</v>
      </c>
      <c r="F60" s="329">
        <v>240</v>
      </c>
      <c r="G60" s="329">
        <v>240</v>
      </c>
      <c r="H60" s="329">
        <v>258</v>
      </c>
      <c r="I60" s="329">
        <v>258</v>
      </c>
      <c r="J60" s="344">
        <f>M23</f>
        <v>287.15999999999997</v>
      </c>
      <c r="K60" s="39"/>
      <c r="L60" s="40"/>
      <c r="M60" s="41"/>
    </row>
    <row r="61" spans="1:13" ht="13" x14ac:dyDescent="0.25">
      <c r="A61" s="32" t="s">
        <v>2</v>
      </c>
      <c r="B61" s="471" t="s">
        <v>314</v>
      </c>
      <c r="C61" s="472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5">
      <c r="A62" s="475" t="s">
        <v>156</v>
      </c>
      <c r="B62" s="476"/>
      <c r="C62" s="477"/>
      <c r="D62" s="42"/>
      <c r="E62" s="35">
        <v>275.39999999999998</v>
      </c>
      <c r="F62" s="35">
        <v>281.48</v>
      </c>
      <c r="G62" s="35">
        <v>293.48</v>
      </c>
      <c r="H62" s="35">
        <v>306.06</v>
      </c>
      <c r="I62" s="35">
        <f>ROUND(SUM(I59:I61),2)</f>
        <v>309.06</v>
      </c>
      <c r="J62" s="35">
        <f>ROUND(SUM(J59:J61),2)</f>
        <v>327.8</v>
      </c>
    </row>
    <row r="64" spans="1:13" ht="12.75" customHeight="1" x14ac:dyDescent="0.25">
      <c r="A64" s="486" t="s">
        <v>77</v>
      </c>
      <c r="B64" s="486"/>
      <c r="C64" s="486"/>
      <c r="D64" s="486"/>
      <c r="E64" s="486"/>
      <c r="F64" s="486"/>
      <c r="G64" s="486"/>
      <c r="H64" s="486"/>
      <c r="I64" s="486"/>
      <c r="J64" s="486"/>
    </row>
    <row r="65" spans="1:10" ht="12.75" customHeight="1" x14ac:dyDescent="0.25">
      <c r="A65" s="486" t="s">
        <v>78</v>
      </c>
      <c r="B65" s="486"/>
      <c r="C65" s="486"/>
      <c r="D65" s="486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ht="13" x14ac:dyDescent="0.25">
      <c r="A66" s="135" t="s">
        <v>79</v>
      </c>
      <c r="B66" s="481" t="s">
        <v>80</v>
      </c>
      <c r="C66" s="481"/>
      <c r="D66" s="481"/>
      <c r="E66" s="230">
        <v>384.47</v>
      </c>
      <c r="F66" s="25">
        <v>398.49</v>
      </c>
      <c r="G66" s="25">
        <v>398.49</v>
      </c>
      <c r="H66" s="323">
        <v>422.45</v>
      </c>
      <c r="I66" s="25">
        <v>422.45</v>
      </c>
      <c r="J66" s="25">
        <f>J45</f>
        <v>468.61</v>
      </c>
    </row>
    <row r="67" spans="1:10" ht="13" x14ac:dyDescent="0.25">
      <c r="A67" s="135" t="s">
        <v>81</v>
      </c>
      <c r="B67" s="481" t="s">
        <v>82</v>
      </c>
      <c r="C67" s="481"/>
      <c r="D67" s="481"/>
      <c r="E67" s="230">
        <v>712.86</v>
      </c>
      <c r="F67" s="25">
        <v>738.85</v>
      </c>
      <c r="G67" s="25">
        <v>738.85</v>
      </c>
      <c r="H67" s="323">
        <v>783.29</v>
      </c>
      <c r="I67" s="25">
        <v>783.29</v>
      </c>
      <c r="J67" s="25">
        <f>J56</f>
        <v>868.86</v>
      </c>
    </row>
    <row r="68" spans="1:10" ht="13" x14ac:dyDescent="0.25">
      <c r="A68" s="135" t="s">
        <v>83</v>
      </c>
      <c r="B68" s="481" t="s">
        <v>25</v>
      </c>
      <c r="C68" s="481"/>
      <c r="D68" s="481"/>
      <c r="E68" s="230">
        <v>275.39999999999998</v>
      </c>
      <c r="F68" s="25">
        <v>281.48</v>
      </c>
      <c r="G68" s="25">
        <v>293.48</v>
      </c>
      <c r="H68" s="323">
        <v>306.06</v>
      </c>
      <c r="I68" s="25">
        <v>309.06</v>
      </c>
      <c r="J68" s="25">
        <f>J62</f>
        <v>327.8</v>
      </c>
    </row>
    <row r="69" spans="1:10" ht="12.75" customHeight="1" x14ac:dyDescent="0.25">
      <c r="A69" s="474" t="s">
        <v>156</v>
      </c>
      <c r="B69" s="474"/>
      <c r="C69" s="474"/>
      <c r="D69" s="474"/>
      <c r="E69" s="241">
        <v>1372.73</v>
      </c>
      <c r="F69" s="128">
        <v>1418.82</v>
      </c>
      <c r="G69" s="35">
        <v>1430.82</v>
      </c>
      <c r="H69" s="35">
        <v>1511.8</v>
      </c>
      <c r="I69" s="35">
        <f>ROUND(SUM(I66:I68),2)</f>
        <v>1514.8</v>
      </c>
      <c r="J69" s="35">
        <f>ROUND(SUM(J66:J68),2)</f>
        <v>1665.27</v>
      </c>
    </row>
    <row r="71" spans="1:10" ht="13" x14ac:dyDescent="0.25">
      <c r="A71" s="478" t="s">
        <v>84</v>
      </c>
      <c r="B71" s="479"/>
      <c r="C71" s="479"/>
      <c r="D71" s="479"/>
      <c r="E71" s="479"/>
      <c r="F71" s="479"/>
      <c r="G71" s="479"/>
      <c r="H71" s="479"/>
      <c r="I71" s="479"/>
      <c r="J71" s="480"/>
    </row>
    <row r="72" spans="1:10" ht="13" x14ac:dyDescent="0.25">
      <c r="A72" s="29">
        <v>3</v>
      </c>
      <c r="B72" s="478" t="s">
        <v>85</v>
      </c>
      <c r="C72" s="480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ht="13" x14ac:dyDescent="0.25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7.9</v>
      </c>
      <c r="F73" s="34">
        <v>8.19</v>
      </c>
      <c r="G73" s="34">
        <v>8.19</v>
      </c>
      <c r="H73" s="329">
        <v>8.68</v>
      </c>
      <c r="I73" s="34">
        <v>8.68</v>
      </c>
      <c r="J73" s="34">
        <f t="shared" ref="J73:J78" si="1">ROUND(D73*$K$39,2)</f>
        <v>9.6300000000000008</v>
      </c>
    </row>
    <row r="74" spans="1:10" ht="13" x14ac:dyDescent="0.25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0.56000000000000005</v>
      </c>
      <c r="F74" s="34">
        <v>0.59</v>
      </c>
      <c r="G74" s="34">
        <v>0.59</v>
      </c>
      <c r="H74" s="329">
        <v>0.62</v>
      </c>
      <c r="I74" s="34">
        <v>0.62</v>
      </c>
      <c r="J74" s="34">
        <f t="shared" si="1"/>
        <v>0.69</v>
      </c>
    </row>
    <row r="75" spans="1:10" ht="13" x14ac:dyDescent="0.25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4.5199999999999996</v>
      </c>
      <c r="F75" s="34">
        <v>4.68</v>
      </c>
      <c r="G75" s="34">
        <v>3.74</v>
      </c>
      <c r="H75" s="329">
        <v>3.97</v>
      </c>
      <c r="I75" s="34">
        <v>3.97</v>
      </c>
      <c r="J75" s="34">
        <f t="shared" si="1"/>
        <v>4.4000000000000004</v>
      </c>
    </row>
    <row r="76" spans="1:10" ht="13" x14ac:dyDescent="0.25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3.01</v>
      </c>
      <c r="F76" s="34">
        <v>3.12</v>
      </c>
      <c r="G76" s="34">
        <v>3.12</v>
      </c>
      <c r="H76" s="329">
        <v>3.31</v>
      </c>
      <c r="I76" s="34">
        <v>3.31</v>
      </c>
      <c r="J76" s="34">
        <f t="shared" si="1"/>
        <v>3.67</v>
      </c>
    </row>
    <row r="77" spans="1:10" ht="25.5" customHeight="1" x14ac:dyDescent="0.25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1.1299999999999999</v>
      </c>
      <c r="F77" s="34">
        <v>1.17</v>
      </c>
      <c r="G77" s="34">
        <v>1.17</v>
      </c>
      <c r="H77" s="329">
        <v>1.24</v>
      </c>
      <c r="I77" s="34">
        <v>1.24</v>
      </c>
      <c r="J77" s="34">
        <f t="shared" si="1"/>
        <v>1.38</v>
      </c>
    </row>
    <row r="78" spans="1:10" ht="13" x14ac:dyDescent="0.25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89.58</v>
      </c>
      <c r="F78" s="34">
        <v>92.84</v>
      </c>
      <c r="G78" s="34">
        <v>74.28</v>
      </c>
      <c r="H78" s="329">
        <v>78.739999999999995</v>
      </c>
      <c r="I78" s="34">
        <v>78.739999999999995</v>
      </c>
      <c r="J78" s="34">
        <f t="shared" si="1"/>
        <v>87.34</v>
      </c>
    </row>
    <row r="79" spans="1:10" ht="12.75" customHeight="1" x14ac:dyDescent="0.25">
      <c r="A79" s="475" t="s">
        <v>156</v>
      </c>
      <c r="B79" s="476"/>
      <c r="C79" s="477"/>
      <c r="D79" s="37">
        <f>SUM(D73:D78)</f>
        <v>4.6699999999999992E-2</v>
      </c>
      <c r="E79" s="31">
        <v>106.7</v>
      </c>
      <c r="F79" s="35">
        <v>110.59</v>
      </c>
      <c r="G79" s="35">
        <v>91.09</v>
      </c>
      <c r="H79" s="35">
        <v>96.56</v>
      </c>
      <c r="I79" s="35">
        <f>ROUND(SUM(I73:I78),2)</f>
        <v>96.56</v>
      </c>
      <c r="J79" s="35">
        <f>ROUND(SUM(J73:J78),2)</f>
        <v>107.11</v>
      </c>
    </row>
    <row r="81" spans="1:10" ht="13" x14ac:dyDescent="0.25">
      <c r="A81" s="478" t="s">
        <v>92</v>
      </c>
      <c r="B81" s="479"/>
      <c r="C81" s="479"/>
      <c r="D81" s="479"/>
      <c r="E81" s="479"/>
      <c r="F81" s="479"/>
      <c r="G81" s="479"/>
      <c r="H81" s="479"/>
      <c r="I81" s="479"/>
      <c r="J81" s="480"/>
    </row>
    <row r="82" spans="1:10" ht="13" x14ac:dyDescent="0.25">
      <c r="A82" s="46"/>
      <c r="B82" s="478" t="s">
        <v>93</v>
      </c>
      <c r="C82" s="480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ht="13" x14ac:dyDescent="0.25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19.010000000000002</v>
      </c>
      <c r="F83" s="34">
        <v>19.7</v>
      </c>
      <c r="G83" s="34">
        <v>19.7</v>
      </c>
      <c r="H83" s="329">
        <v>20.88</v>
      </c>
      <c r="I83" s="34">
        <v>20.88</v>
      </c>
      <c r="J83" s="34">
        <f t="shared" ref="J83:J88" si="2">ROUND(D83*$K$39,2)</f>
        <v>23.17</v>
      </c>
    </row>
    <row r="84" spans="1:10" ht="13" x14ac:dyDescent="0.25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10.54</v>
      </c>
      <c r="F84" s="34">
        <v>10.92</v>
      </c>
      <c r="G84" s="34">
        <v>10.92</v>
      </c>
      <c r="H84" s="329">
        <v>11.58</v>
      </c>
      <c r="I84" s="34">
        <v>11.58</v>
      </c>
      <c r="J84" s="34">
        <f t="shared" si="2"/>
        <v>12.84</v>
      </c>
    </row>
    <row r="85" spans="1:10" ht="13" x14ac:dyDescent="0.25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26.16</v>
      </c>
      <c r="F85" s="34">
        <v>27.11</v>
      </c>
      <c r="G85" s="34">
        <v>27.11</v>
      </c>
      <c r="H85" s="329">
        <v>28.74</v>
      </c>
      <c r="I85" s="34">
        <v>28.74</v>
      </c>
      <c r="J85" s="34">
        <f t="shared" si="2"/>
        <v>31.88</v>
      </c>
    </row>
    <row r="86" spans="1:10" ht="13" x14ac:dyDescent="0.25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3.2</v>
      </c>
      <c r="F86" s="34">
        <v>3.32</v>
      </c>
      <c r="G86" s="34">
        <v>3.32</v>
      </c>
      <c r="H86" s="329">
        <v>3.52</v>
      </c>
      <c r="I86" s="34">
        <v>3.52</v>
      </c>
      <c r="J86" s="34">
        <f t="shared" si="2"/>
        <v>3.9</v>
      </c>
    </row>
    <row r="87" spans="1:10" ht="13" x14ac:dyDescent="0.25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3.95</v>
      </c>
      <c r="F87" s="34">
        <v>4.0999999999999996</v>
      </c>
      <c r="G87" s="34">
        <v>4.0999999999999996</v>
      </c>
      <c r="H87" s="329">
        <v>4.34</v>
      </c>
      <c r="I87" s="34">
        <v>4.34</v>
      </c>
      <c r="J87" s="34">
        <f t="shared" si="2"/>
        <v>4.82</v>
      </c>
    </row>
    <row r="88" spans="1:10" ht="13" x14ac:dyDescent="0.25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1.32</v>
      </c>
      <c r="F88" s="34">
        <v>1.37</v>
      </c>
      <c r="G88" s="34">
        <v>1.37</v>
      </c>
      <c r="H88" s="329">
        <v>1.45</v>
      </c>
      <c r="I88" s="34">
        <v>1.45</v>
      </c>
      <c r="J88" s="34">
        <f t="shared" si="2"/>
        <v>1.61</v>
      </c>
    </row>
    <row r="89" spans="1:10" ht="12.75" customHeight="1" x14ac:dyDescent="0.25">
      <c r="A89" s="475" t="s">
        <v>156</v>
      </c>
      <c r="B89" s="476"/>
      <c r="C89" s="477"/>
      <c r="D89" s="37">
        <f>SUM(D83:D88)</f>
        <v>3.4099999999999991E-2</v>
      </c>
      <c r="E89" s="35">
        <v>64.180000000000007</v>
      </c>
      <c r="F89" s="35">
        <v>66.52</v>
      </c>
      <c r="G89" s="35">
        <v>66.52</v>
      </c>
      <c r="H89" s="35">
        <v>70.510000000000005</v>
      </c>
      <c r="I89" s="35">
        <f>ROUND(SUM(I83:I88),2)</f>
        <v>70.510000000000005</v>
      </c>
      <c r="J89" s="35">
        <f>ROUND(SUM(J83:J88),2)</f>
        <v>78.22</v>
      </c>
    </row>
    <row r="90" spans="1:10" x14ac:dyDescent="0.25">
      <c r="E90" s="10"/>
      <c r="F90" s="10"/>
    </row>
    <row r="91" spans="1:10" ht="12.75" customHeight="1" x14ac:dyDescent="0.25">
      <c r="A91" s="478" t="s">
        <v>93</v>
      </c>
      <c r="B91" s="479"/>
      <c r="C91" s="479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5">
      <c r="A92" s="32" t="s">
        <v>6</v>
      </c>
      <c r="B92" s="471" t="s">
        <v>155</v>
      </c>
      <c r="C92" s="487"/>
      <c r="D92" s="129">
        <f>((D56)*(D45+D89))</f>
        <v>9.0305920000000012E-2</v>
      </c>
      <c r="E92" s="34">
        <v>169.94</v>
      </c>
      <c r="F92" s="34">
        <v>176.14</v>
      </c>
      <c r="G92" s="34">
        <v>176.14</v>
      </c>
      <c r="H92" s="329">
        <v>186.73</v>
      </c>
      <c r="I92" s="34">
        <v>186.73</v>
      </c>
      <c r="J92" s="34">
        <f>ROUND(D92*$K$39,2)</f>
        <v>207.14</v>
      </c>
    </row>
    <row r="93" spans="1:10" ht="12.75" customHeight="1" x14ac:dyDescent="0.25">
      <c r="A93" s="475" t="s">
        <v>156</v>
      </c>
      <c r="B93" s="476"/>
      <c r="C93" s="476"/>
      <c r="D93" s="130">
        <f>D92</f>
        <v>9.0305920000000012E-2</v>
      </c>
      <c r="E93" s="128">
        <v>169.94</v>
      </c>
      <c r="F93" s="128">
        <v>176.14</v>
      </c>
      <c r="G93" s="128">
        <v>176.14</v>
      </c>
      <c r="H93" s="128">
        <v>186.73</v>
      </c>
      <c r="I93" s="128">
        <f>ROUND(SUM(I92:I92),2)</f>
        <v>186.73</v>
      </c>
      <c r="J93" s="128">
        <f>ROUND(SUM(J92:J92),2)</f>
        <v>207.14</v>
      </c>
    </row>
    <row r="94" spans="1:10" x14ac:dyDescent="0.25">
      <c r="E94" s="10"/>
      <c r="F94" s="10"/>
    </row>
    <row r="95" spans="1:10" ht="12.75" customHeight="1" x14ac:dyDescent="0.25">
      <c r="A95" s="478" t="s">
        <v>142</v>
      </c>
      <c r="B95" s="479"/>
      <c r="C95" s="479"/>
      <c r="D95" s="480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ht="13" x14ac:dyDescent="0.25">
      <c r="A96" s="32" t="s">
        <v>0</v>
      </c>
      <c r="B96" s="471" t="s">
        <v>253</v>
      </c>
      <c r="C96" s="487"/>
      <c r="D96" s="472"/>
      <c r="E96" s="34">
        <v>74.03</v>
      </c>
      <c r="F96" s="34">
        <v>76.73</v>
      </c>
      <c r="G96" s="34">
        <v>76.73</v>
      </c>
      <c r="H96" s="329">
        <v>81.34</v>
      </c>
      <c r="I96" s="34">
        <f>ROUND((I21/220)*M16*1.5*0.25,2)</f>
        <v>40.67</v>
      </c>
      <c r="J96" s="34">
        <f>ROUND((J21/220)*M16*1.5*0.5,2)</f>
        <v>90.23</v>
      </c>
    </row>
    <row r="97" spans="1:16" ht="12.75" customHeight="1" x14ac:dyDescent="0.25">
      <c r="A97" s="475" t="s">
        <v>156</v>
      </c>
      <c r="B97" s="476"/>
      <c r="C97" s="476"/>
      <c r="D97" s="477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40.67</v>
      </c>
      <c r="J97" s="35">
        <f>ROUND(SUM(J96:J96),2)</f>
        <v>90.23</v>
      </c>
    </row>
    <row r="98" spans="1:16" ht="33" customHeight="1" x14ac:dyDescent="0.25">
      <c r="A98" s="488" t="s">
        <v>143</v>
      </c>
      <c r="B98" s="488"/>
      <c r="C98" s="488"/>
      <c r="D98" s="488"/>
      <c r="E98" s="488"/>
      <c r="F98" s="488"/>
      <c r="G98" s="488"/>
      <c r="H98" s="488"/>
      <c r="I98" s="488"/>
      <c r="J98" s="488"/>
    </row>
    <row r="100" spans="1:16" ht="12.75" customHeight="1" x14ac:dyDescent="0.25">
      <c r="A100" s="486" t="s">
        <v>99</v>
      </c>
      <c r="B100" s="486"/>
      <c r="C100" s="486"/>
      <c r="D100" s="486"/>
      <c r="E100" s="486"/>
      <c r="F100" s="486"/>
      <c r="G100" s="486"/>
      <c r="H100" s="486"/>
      <c r="I100" s="486"/>
      <c r="J100" s="486"/>
    </row>
    <row r="101" spans="1:16" ht="12.75" customHeight="1" x14ac:dyDescent="0.25">
      <c r="A101" s="486" t="s">
        <v>100</v>
      </c>
      <c r="B101" s="486"/>
      <c r="C101" s="486"/>
      <c r="D101" s="486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ht="13" x14ac:dyDescent="0.25">
      <c r="A102" s="48" t="s">
        <v>26</v>
      </c>
      <c r="B102" s="481" t="s">
        <v>95</v>
      </c>
      <c r="C102" s="481"/>
      <c r="D102" s="481"/>
      <c r="E102" s="25">
        <v>234.12</v>
      </c>
      <c r="F102" s="25">
        <v>242.66</v>
      </c>
      <c r="G102" s="25">
        <v>242.66</v>
      </c>
      <c r="H102" s="323">
        <v>257.24</v>
      </c>
      <c r="I102" s="25">
        <v>257.24</v>
      </c>
      <c r="J102" s="25">
        <f>ROUND(J89+J93,2)</f>
        <v>285.36</v>
      </c>
    </row>
    <row r="103" spans="1:16" ht="13" x14ac:dyDescent="0.25">
      <c r="A103" s="48" t="s">
        <v>27</v>
      </c>
      <c r="B103" s="481" t="s">
        <v>101</v>
      </c>
      <c r="C103" s="481"/>
      <c r="D103" s="481"/>
      <c r="E103" s="25">
        <v>74.03</v>
      </c>
      <c r="F103" s="25">
        <v>76.73</v>
      </c>
      <c r="G103" s="25">
        <v>76.73</v>
      </c>
      <c r="H103" s="323">
        <v>81.34</v>
      </c>
      <c r="I103" s="25">
        <f>I97</f>
        <v>40.67</v>
      </c>
      <c r="J103" s="25">
        <f>J97</f>
        <v>90.23</v>
      </c>
    </row>
    <row r="104" spans="1:16" s="137" customFormat="1" ht="12.75" customHeight="1" x14ac:dyDescent="0.25">
      <c r="A104" s="474" t="s">
        <v>102</v>
      </c>
      <c r="B104" s="474"/>
      <c r="C104" s="474"/>
      <c r="D104" s="474"/>
      <c r="E104" s="35">
        <v>308.14999999999998</v>
      </c>
      <c r="F104" s="35">
        <v>319.39</v>
      </c>
      <c r="G104" s="35">
        <v>319.39</v>
      </c>
      <c r="H104" s="35">
        <v>338.58</v>
      </c>
      <c r="I104" s="35">
        <f>ROUND(SUM(I102:I103),2)</f>
        <v>297.91000000000003</v>
      </c>
      <c r="J104" s="35">
        <f>ROUND(SUM(J102:J103),2)</f>
        <v>375.59</v>
      </c>
      <c r="K104" s="9"/>
      <c r="L104" s="9"/>
      <c r="N104" s="9"/>
      <c r="O104" s="9"/>
      <c r="P104" s="9"/>
    </row>
    <row r="106" spans="1:16" s="137" customFormat="1" ht="13" x14ac:dyDescent="0.25">
      <c r="A106" s="478" t="s">
        <v>103</v>
      </c>
      <c r="B106" s="479"/>
      <c r="C106" s="479"/>
      <c r="D106" s="479"/>
      <c r="E106" s="479"/>
      <c r="F106" s="479"/>
      <c r="G106" s="479"/>
      <c r="H106" s="479"/>
      <c r="I106" s="479"/>
      <c r="J106" s="480"/>
      <c r="K106" s="9"/>
      <c r="L106" s="9"/>
      <c r="N106" s="9"/>
      <c r="O106" s="9"/>
      <c r="P106" s="9"/>
    </row>
    <row r="107" spans="1:16" s="137" customFormat="1" ht="13" x14ac:dyDescent="0.25">
      <c r="A107" s="29">
        <v>5</v>
      </c>
      <c r="B107" s="478" t="s">
        <v>104</v>
      </c>
      <c r="C107" s="480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ht="13" x14ac:dyDescent="0.25">
      <c r="A108" s="32" t="s">
        <v>0</v>
      </c>
      <c r="B108" s="471" t="s">
        <v>129</v>
      </c>
      <c r="C108" s="472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18.72</v>
      </c>
      <c r="K108" s="9"/>
      <c r="L108" s="9"/>
      <c r="N108" s="9"/>
      <c r="O108" s="9"/>
      <c r="P108" s="9"/>
    </row>
    <row r="109" spans="1:16" s="137" customFormat="1" ht="13" x14ac:dyDescent="0.25">
      <c r="A109" s="32" t="s">
        <v>1</v>
      </c>
      <c r="B109" s="471" t="s">
        <v>190</v>
      </c>
      <c r="C109" s="472"/>
      <c r="D109" s="38" t="s">
        <v>76</v>
      </c>
      <c r="E109" s="34">
        <v>32.19</v>
      </c>
      <c r="F109" s="34">
        <v>32.19</v>
      </c>
      <c r="G109" s="34">
        <v>32.19</v>
      </c>
      <c r="H109" s="329">
        <v>32.19</v>
      </c>
      <c r="I109" s="34">
        <v>32.19</v>
      </c>
      <c r="J109" s="347">
        <f>'Uniformes e Equiptos'!H29</f>
        <v>35.409999999999997</v>
      </c>
      <c r="K109" s="49"/>
      <c r="L109" s="9"/>
      <c r="N109" s="9"/>
      <c r="O109" s="9"/>
      <c r="P109" s="9"/>
    </row>
    <row r="110" spans="1:16" s="137" customFormat="1" ht="13" x14ac:dyDescent="0.25">
      <c r="A110" s="32" t="s">
        <v>2</v>
      </c>
      <c r="B110" s="471" t="s">
        <v>187</v>
      </c>
      <c r="C110" s="472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5">
      <c r="A111" s="475" t="s">
        <v>156</v>
      </c>
      <c r="B111" s="476"/>
      <c r="C111" s="477"/>
      <c r="D111" s="50" t="s">
        <v>76</v>
      </c>
      <c r="E111" s="35">
        <v>49.19</v>
      </c>
      <c r="F111" s="35">
        <v>49.19</v>
      </c>
      <c r="G111" s="35">
        <v>49.19</v>
      </c>
      <c r="H111" s="35">
        <v>49.19</v>
      </c>
      <c r="I111" s="35">
        <f>ROUND(SUM(I108:I110),2)</f>
        <v>49.19</v>
      </c>
      <c r="J111" s="35">
        <f>ROUND(SUM(J108:J110),2)</f>
        <v>54.13</v>
      </c>
      <c r="K111" s="9"/>
      <c r="L111" s="9"/>
      <c r="N111" s="9"/>
      <c r="O111" s="9"/>
      <c r="P111" s="9"/>
    </row>
    <row r="113" spans="1:16" s="137" customFormat="1" ht="13" x14ac:dyDescent="0.25">
      <c r="A113" s="478" t="s">
        <v>105</v>
      </c>
      <c r="B113" s="479"/>
      <c r="C113" s="479"/>
      <c r="D113" s="479"/>
      <c r="E113" s="479"/>
      <c r="F113" s="479"/>
      <c r="G113" s="479"/>
      <c r="H113" s="479"/>
      <c r="I113" s="479"/>
      <c r="J113" s="480"/>
      <c r="K113" s="9"/>
      <c r="L113" s="9"/>
      <c r="N113" s="9"/>
      <c r="O113" s="9"/>
      <c r="P113" s="9"/>
    </row>
    <row r="114" spans="1:16" s="137" customFormat="1" ht="13" x14ac:dyDescent="0.25">
      <c r="A114" s="29">
        <v>6</v>
      </c>
      <c r="B114" s="478" t="s">
        <v>106</v>
      </c>
      <c r="C114" s="480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5">
      <c r="A115" s="32" t="s">
        <v>0</v>
      </c>
      <c r="B115" s="471" t="s">
        <v>301</v>
      </c>
      <c r="C115" s="472"/>
      <c r="D115" s="51">
        <v>0.03</v>
      </c>
      <c r="E115" s="34">
        <v>112.14</v>
      </c>
      <c r="F115" s="34">
        <v>116.05</v>
      </c>
      <c r="G115" s="34">
        <v>115.83</v>
      </c>
      <c r="H115" s="329">
        <v>122.55</v>
      </c>
      <c r="I115" s="34">
        <v>122.64</v>
      </c>
      <c r="J115" s="34">
        <f>ROUND(J130*D115,2)</f>
        <v>135.58000000000001</v>
      </c>
      <c r="K115" s="132"/>
      <c r="L115" s="138"/>
      <c r="N115" s="9"/>
      <c r="O115" s="9"/>
      <c r="P115" s="9"/>
    </row>
    <row r="116" spans="1:16" s="137" customFormat="1" ht="13" x14ac:dyDescent="0.25">
      <c r="A116" s="32" t="s">
        <v>1</v>
      </c>
      <c r="B116" s="52" t="s">
        <v>12</v>
      </c>
      <c r="C116" s="53"/>
      <c r="D116" s="51">
        <v>1.0200000000000001E-2</v>
      </c>
      <c r="E116" s="34">
        <v>39.270000000000003</v>
      </c>
      <c r="F116" s="34">
        <v>40.64</v>
      </c>
      <c r="G116" s="34">
        <v>40.56</v>
      </c>
      <c r="H116" s="329">
        <v>42.92</v>
      </c>
      <c r="I116" s="34">
        <v>42.95</v>
      </c>
      <c r="J116" s="34">
        <f>ROUND((J130+J115)*D116,2)</f>
        <v>47.48</v>
      </c>
      <c r="K116" s="133"/>
      <c r="L116" s="139"/>
      <c r="N116" s="9"/>
      <c r="O116" s="9"/>
      <c r="P116" s="9"/>
    </row>
    <row r="117" spans="1:16" s="137" customFormat="1" ht="13" x14ac:dyDescent="0.25">
      <c r="A117" s="32" t="s">
        <v>2</v>
      </c>
      <c r="B117" s="483" t="s">
        <v>302</v>
      </c>
      <c r="C117" s="484"/>
      <c r="D117" s="54"/>
      <c r="E117" s="55"/>
      <c r="F117" s="55"/>
      <c r="G117" s="55"/>
      <c r="H117" s="330"/>
      <c r="I117" s="55"/>
      <c r="J117" s="55"/>
      <c r="K117" s="9"/>
      <c r="L117" s="9"/>
      <c r="N117" s="9"/>
      <c r="O117" s="9"/>
      <c r="P117" s="9"/>
    </row>
    <row r="118" spans="1:16" s="137" customFormat="1" ht="13" x14ac:dyDescent="0.25">
      <c r="A118" s="32" t="s">
        <v>107</v>
      </c>
      <c r="B118" s="471" t="s">
        <v>13</v>
      </c>
      <c r="C118" s="472"/>
      <c r="D118" s="51">
        <v>6.4999999999999997E-3</v>
      </c>
      <c r="E118" s="34">
        <v>26.94</v>
      </c>
      <c r="F118" s="34">
        <v>27.88</v>
      </c>
      <c r="G118" s="34">
        <v>27.82</v>
      </c>
      <c r="H118" s="329">
        <v>29.44</v>
      </c>
      <c r="I118" s="34">
        <v>29.46</v>
      </c>
      <c r="J118" s="34">
        <f>ROUND((($J$130+$J$115+$J$116)/(1-($D$118+$D$119+$D$120)))*D118,2)</f>
        <v>32.57</v>
      </c>
      <c r="K118" s="469"/>
      <c r="L118" s="470"/>
      <c r="N118" s="9"/>
      <c r="O118" s="9"/>
      <c r="P118" s="9"/>
    </row>
    <row r="119" spans="1:16" s="137" customFormat="1" ht="13" x14ac:dyDescent="0.25">
      <c r="A119" s="32" t="s">
        <v>108</v>
      </c>
      <c r="B119" s="471" t="s">
        <v>14</v>
      </c>
      <c r="C119" s="472"/>
      <c r="D119" s="51">
        <v>0.03</v>
      </c>
      <c r="E119" s="34">
        <v>124.32</v>
      </c>
      <c r="F119" s="34">
        <v>128.66999999999999</v>
      </c>
      <c r="G119" s="34">
        <v>128.41999999999999</v>
      </c>
      <c r="H119" s="329">
        <v>135.87</v>
      </c>
      <c r="I119" s="34">
        <v>135.97</v>
      </c>
      <c r="J119" s="34">
        <f>ROUND((($J$130+$J$115+$J$116)/(1-($D$118+$D$119+$D$120)))*D119,2)</f>
        <v>150.31</v>
      </c>
      <c r="K119" s="469"/>
      <c r="L119" s="470"/>
      <c r="N119" s="9"/>
      <c r="O119" s="9"/>
      <c r="P119" s="9"/>
    </row>
    <row r="120" spans="1:16" ht="13" x14ac:dyDescent="0.25">
      <c r="A120" s="32" t="s">
        <v>109</v>
      </c>
      <c r="B120" s="471" t="s">
        <v>30</v>
      </c>
      <c r="C120" s="472"/>
      <c r="D120" s="51">
        <f>M9</f>
        <v>2.5000000000000001E-2</v>
      </c>
      <c r="E120" s="34">
        <v>103.6</v>
      </c>
      <c r="F120" s="34">
        <v>107.22</v>
      </c>
      <c r="G120" s="34">
        <v>107.01</v>
      </c>
      <c r="H120" s="329">
        <v>113.23</v>
      </c>
      <c r="I120" s="34">
        <v>113.31</v>
      </c>
      <c r="J120" s="34">
        <f>ROUND((($J$130+$J$115+$J$116)/(1-($D$118+$D$119+$D$120)))*D120,2)</f>
        <v>125.26</v>
      </c>
    </row>
    <row r="121" spans="1:16" ht="12.75" customHeight="1" x14ac:dyDescent="0.25">
      <c r="A121" s="475" t="s">
        <v>157</v>
      </c>
      <c r="B121" s="476"/>
      <c r="C121" s="477"/>
      <c r="D121" s="47">
        <f>SUM(D115:D120)</f>
        <v>0.10169999999999998</v>
      </c>
      <c r="E121" s="31">
        <v>406.27</v>
      </c>
      <c r="F121" s="31">
        <v>420.46000000000004</v>
      </c>
      <c r="G121" s="31">
        <v>419.64</v>
      </c>
      <c r="H121" s="31">
        <v>444.01</v>
      </c>
      <c r="I121" s="31">
        <f>SUM(I115:I120)</f>
        <v>444.33</v>
      </c>
      <c r="J121" s="31">
        <f>SUM(J115:J120)</f>
        <v>491.2</v>
      </c>
    </row>
    <row r="123" spans="1:16" ht="12.75" customHeight="1" x14ac:dyDescent="0.25">
      <c r="A123" s="486" t="s">
        <v>110</v>
      </c>
      <c r="B123" s="486"/>
      <c r="C123" s="486"/>
      <c r="D123" s="486"/>
      <c r="E123" s="486"/>
      <c r="F123" s="486"/>
      <c r="G123" s="486"/>
      <c r="H123" s="486"/>
      <c r="I123" s="486"/>
      <c r="J123" s="486"/>
    </row>
    <row r="124" spans="1:16" ht="12.75" customHeight="1" x14ac:dyDescent="0.25">
      <c r="A124" s="486" t="s">
        <v>111</v>
      </c>
      <c r="B124" s="486"/>
      <c r="C124" s="486"/>
      <c r="D124" s="486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5">
      <c r="A125" s="136" t="s">
        <v>0</v>
      </c>
      <c r="B125" s="481" t="s">
        <v>65</v>
      </c>
      <c r="C125" s="481"/>
      <c r="D125" s="481"/>
      <c r="E125" s="25">
        <v>1901.07</v>
      </c>
      <c r="F125" s="25">
        <v>1970.41</v>
      </c>
      <c r="G125" s="25">
        <v>1970.41</v>
      </c>
      <c r="H125" s="323">
        <v>2088.87</v>
      </c>
      <c r="I125" s="25">
        <v>2088.87</v>
      </c>
      <c r="J125" s="25">
        <f>J39</f>
        <v>2317.11</v>
      </c>
    </row>
    <row r="126" spans="1:16" x14ac:dyDescent="0.25">
      <c r="A126" s="136" t="s">
        <v>1</v>
      </c>
      <c r="B126" s="481" t="s">
        <v>68</v>
      </c>
      <c r="C126" s="481"/>
      <c r="D126" s="481"/>
      <c r="E126" s="25">
        <v>1372.73</v>
      </c>
      <c r="F126" s="25">
        <v>1418.82</v>
      </c>
      <c r="G126" s="25">
        <v>1430.82</v>
      </c>
      <c r="H126" s="323">
        <v>1511.8</v>
      </c>
      <c r="I126" s="25">
        <v>1514.8</v>
      </c>
      <c r="J126" s="25">
        <f>J69</f>
        <v>1665.27</v>
      </c>
    </row>
    <row r="127" spans="1:16" x14ac:dyDescent="0.25">
      <c r="A127" s="136" t="s">
        <v>2</v>
      </c>
      <c r="B127" s="481" t="s">
        <v>84</v>
      </c>
      <c r="C127" s="481"/>
      <c r="D127" s="481"/>
      <c r="E127" s="25">
        <v>106.7</v>
      </c>
      <c r="F127" s="25">
        <v>110.59</v>
      </c>
      <c r="G127" s="25">
        <v>91.09</v>
      </c>
      <c r="H127" s="323">
        <v>96.56</v>
      </c>
      <c r="I127" s="25">
        <v>96.56</v>
      </c>
      <c r="J127" s="25">
        <f>J79</f>
        <v>107.11</v>
      </c>
    </row>
    <row r="128" spans="1:16" x14ac:dyDescent="0.25">
      <c r="A128" s="56" t="s">
        <v>3</v>
      </c>
      <c r="B128" s="481" t="s">
        <v>92</v>
      </c>
      <c r="C128" s="481"/>
      <c r="D128" s="481"/>
      <c r="E128" s="25">
        <v>308.14999999999998</v>
      </c>
      <c r="F128" s="25">
        <v>319.39</v>
      </c>
      <c r="G128" s="25">
        <v>319.39</v>
      </c>
      <c r="H128" s="323">
        <v>338.58</v>
      </c>
      <c r="I128" s="25">
        <v>338.58</v>
      </c>
      <c r="J128" s="25">
        <f>J104</f>
        <v>375.59</v>
      </c>
      <c r="L128" s="218"/>
    </row>
    <row r="129" spans="1:12" x14ac:dyDescent="0.25">
      <c r="A129" s="57" t="s">
        <v>4</v>
      </c>
      <c r="B129" s="481" t="s">
        <v>103</v>
      </c>
      <c r="C129" s="481"/>
      <c r="D129" s="481"/>
      <c r="E129" s="58">
        <v>49.19</v>
      </c>
      <c r="F129" s="58">
        <v>49.19</v>
      </c>
      <c r="G129" s="58">
        <v>49.19</v>
      </c>
      <c r="H129" s="331">
        <v>49.19</v>
      </c>
      <c r="I129" s="58">
        <v>49.19</v>
      </c>
      <c r="J129" s="58">
        <f>J111</f>
        <v>54.13</v>
      </c>
      <c r="L129" s="218"/>
    </row>
    <row r="130" spans="1:12" ht="13" x14ac:dyDescent="0.25">
      <c r="A130" s="59"/>
      <c r="B130" s="482" t="s">
        <v>112</v>
      </c>
      <c r="C130" s="482"/>
      <c r="D130" s="482"/>
      <c r="E130" s="60">
        <v>3737.84</v>
      </c>
      <c r="F130" s="60">
        <v>3868.4</v>
      </c>
      <c r="G130" s="60">
        <v>3860.9</v>
      </c>
      <c r="H130" s="60">
        <v>4085</v>
      </c>
      <c r="I130" s="60">
        <v>4088</v>
      </c>
      <c r="J130" s="60">
        <f>SUM(J125:J129)</f>
        <v>4519.21</v>
      </c>
    </row>
    <row r="131" spans="1:12" x14ac:dyDescent="0.25">
      <c r="A131" s="136" t="s">
        <v>5</v>
      </c>
      <c r="B131" s="481" t="s">
        <v>105</v>
      </c>
      <c r="C131" s="481"/>
      <c r="D131" s="481"/>
      <c r="E131" s="25">
        <v>406.27</v>
      </c>
      <c r="F131" s="25">
        <v>420.46000000000004</v>
      </c>
      <c r="G131" s="25">
        <v>419.64</v>
      </c>
      <c r="H131" s="323">
        <v>444.01</v>
      </c>
      <c r="I131" s="25">
        <v>444.33</v>
      </c>
      <c r="J131" s="25">
        <f>J121</f>
        <v>491.2</v>
      </c>
    </row>
    <row r="132" spans="1:12" ht="13" x14ac:dyDescent="0.25">
      <c r="A132" s="474" t="s">
        <v>113</v>
      </c>
      <c r="B132" s="474"/>
      <c r="C132" s="474"/>
      <c r="D132" s="474"/>
      <c r="E132" s="119">
        <v>4144.1099999999997</v>
      </c>
      <c r="F132" s="119">
        <v>4288.8599999999997</v>
      </c>
      <c r="G132" s="119">
        <v>4280.54</v>
      </c>
      <c r="H132" s="119">
        <v>4529.01</v>
      </c>
      <c r="I132" s="119">
        <v>4532.33</v>
      </c>
      <c r="J132" s="119">
        <f>ROUND(SUM(J130:J131),2)</f>
        <v>5010.41</v>
      </c>
    </row>
    <row r="133" spans="1:12" ht="13" x14ac:dyDescent="0.25">
      <c r="A133" s="485" t="s">
        <v>140</v>
      </c>
      <c r="B133" s="485"/>
      <c r="C133" s="485"/>
      <c r="D133" s="485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ht="13" x14ac:dyDescent="0.25">
      <c r="A134" s="473" t="s">
        <v>141</v>
      </c>
      <c r="B134" s="473"/>
      <c r="C134" s="473"/>
      <c r="D134" s="473"/>
      <c r="E134" s="235">
        <v>8288.2199999999993</v>
      </c>
      <c r="F134" s="235">
        <v>8577.7199999999993</v>
      </c>
      <c r="G134" s="111">
        <v>8561.08</v>
      </c>
      <c r="H134" s="111">
        <v>9058.02</v>
      </c>
      <c r="I134" s="111">
        <f>ROUND(I132*I133,2)</f>
        <v>9064.66</v>
      </c>
      <c r="J134" s="111">
        <f>ROUND(J132*J133,2)</f>
        <v>10020.82</v>
      </c>
    </row>
  </sheetData>
  <mergeCells count="123">
    <mergeCell ref="A1:J1"/>
    <mergeCell ref="L3:M3"/>
    <mergeCell ref="A3:C3"/>
    <mergeCell ref="D3:J3"/>
    <mergeCell ref="A4:C4"/>
    <mergeCell ref="D4:J4"/>
    <mergeCell ref="A8:J8"/>
    <mergeCell ref="B9:D9"/>
    <mergeCell ref="B10:D10"/>
    <mergeCell ref="A7:J7"/>
    <mergeCell ref="A5:J5"/>
    <mergeCell ref="A6:J6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32:C32"/>
    <mergeCell ref="B33:C33"/>
    <mergeCell ref="B34:C34"/>
    <mergeCell ref="B35:C35"/>
    <mergeCell ref="B36:C36"/>
    <mergeCell ref="B37:C37"/>
    <mergeCell ref="A39:D39"/>
    <mergeCell ref="A41:J41"/>
    <mergeCell ref="A42:C42"/>
    <mergeCell ref="B38:C38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A95:D95"/>
    <mergeCell ref="B96:D96"/>
    <mergeCell ref="A97:D97"/>
    <mergeCell ref="A98:J98"/>
    <mergeCell ref="A100:J100"/>
    <mergeCell ref="A101:D101"/>
    <mergeCell ref="B115:C115"/>
    <mergeCell ref="B102:D102"/>
    <mergeCell ref="B103:D103"/>
    <mergeCell ref="A104:D104"/>
    <mergeCell ref="A106:J106"/>
    <mergeCell ref="B107:C107"/>
    <mergeCell ref="B108:C108"/>
    <mergeCell ref="K118:L118"/>
    <mergeCell ref="B119:C119"/>
    <mergeCell ref="K119:L119"/>
    <mergeCell ref="A134:D134"/>
    <mergeCell ref="A132:D132"/>
    <mergeCell ref="B109:C109"/>
    <mergeCell ref="B110:C110"/>
    <mergeCell ref="A111:C111"/>
    <mergeCell ref="A113:J113"/>
    <mergeCell ref="B114:C114"/>
    <mergeCell ref="B127:D127"/>
    <mergeCell ref="B128:D128"/>
    <mergeCell ref="B129:D129"/>
    <mergeCell ref="B130:D130"/>
    <mergeCell ref="B131:D131"/>
    <mergeCell ref="B120:C120"/>
    <mergeCell ref="A121:C121"/>
    <mergeCell ref="B117:C117"/>
    <mergeCell ref="B118:C118"/>
    <mergeCell ref="A133:D133"/>
    <mergeCell ref="A123:J123"/>
    <mergeCell ref="A124:D124"/>
    <mergeCell ref="B125:D125"/>
    <mergeCell ref="B126:D12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6">
    <tabColor theme="3"/>
  </sheetPr>
  <dimension ref="A1:P134"/>
  <sheetViews>
    <sheetView view="pageBreakPreview" topLeftCell="A13" zoomScaleNormal="100" zoomScaleSheetLayoutView="100" workbookViewId="0">
      <selection activeCell="J22" sqref="J22"/>
    </sheetView>
  </sheetViews>
  <sheetFormatPr defaultColWidth="9.1796875" defaultRowHeight="12.5" x14ac:dyDescent="0.25"/>
  <cols>
    <col min="1" max="1" width="7.1796875" style="9" customWidth="1"/>
    <col min="2" max="2" width="24.1796875" style="9" customWidth="1"/>
    <col min="3" max="3" width="34.81640625" style="9" customWidth="1"/>
    <col min="4" max="4" width="13.26953125" style="9" customWidth="1"/>
    <col min="5" max="6" width="19" style="9" hidden="1" customWidth="1"/>
    <col min="7" max="7" width="22.1796875" style="10" hidden="1" customWidth="1"/>
    <col min="8" max="8" width="22.1796875" style="322" hidden="1" customWidth="1"/>
    <col min="9" max="10" width="22.1796875" style="10" customWidth="1"/>
    <col min="11" max="11" width="21.453125" style="9" customWidth="1"/>
    <col min="12" max="12" width="33.453125" style="9" bestFit="1" customWidth="1"/>
    <col min="13" max="13" width="15.7265625" style="137" customWidth="1"/>
    <col min="14" max="14" width="17" style="9" customWidth="1"/>
    <col min="15" max="16384" width="9.1796875" style="9"/>
  </cols>
  <sheetData>
    <row r="1" spans="1:16" ht="13" x14ac:dyDescent="0.25">
      <c r="A1" s="493" t="s">
        <v>241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6" ht="13" x14ac:dyDescent="0.25">
      <c r="A2" s="134"/>
      <c r="B2" s="134"/>
      <c r="C2" s="134"/>
      <c r="D2" s="134"/>
      <c r="E2" s="228"/>
      <c r="F2" s="243"/>
      <c r="G2" s="305"/>
      <c r="H2" s="305"/>
      <c r="I2" s="318"/>
      <c r="J2" s="134"/>
      <c r="N2" s="123"/>
    </row>
    <row r="3" spans="1:16" ht="13" x14ac:dyDescent="0.25">
      <c r="A3" s="495" t="s">
        <v>242</v>
      </c>
      <c r="B3" s="496"/>
      <c r="C3" s="497"/>
      <c r="D3" s="498" t="s">
        <v>239</v>
      </c>
      <c r="E3" s="498"/>
      <c r="F3" s="498"/>
      <c r="G3" s="498"/>
      <c r="H3" s="498"/>
      <c r="I3" s="498"/>
      <c r="J3" s="498"/>
      <c r="L3" s="494"/>
      <c r="M3" s="494"/>
      <c r="N3" s="124"/>
    </row>
    <row r="4" spans="1:16" ht="13" x14ac:dyDescent="0.25">
      <c r="A4" s="495" t="s">
        <v>243</v>
      </c>
      <c r="B4" s="496"/>
      <c r="C4" s="497"/>
      <c r="D4" s="499" t="s">
        <v>240</v>
      </c>
      <c r="E4" s="499"/>
      <c r="F4" s="499"/>
      <c r="G4" s="499"/>
      <c r="H4" s="499"/>
      <c r="I4" s="499"/>
      <c r="J4" s="499"/>
      <c r="L4" s="185"/>
      <c r="M4" s="186"/>
    </row>
    <row r="5" spans="1:16" ht="13" x14ac:dyDescent="0.25">
      <c r="A5" s="495" t="s">
        <v>245</v>
      </c>
      <c r="B5" s="496"/>
      <c r="C5" s="496"/>
      <c r="D5" s="496"/>
      <c r="E5" s="496"/>
      <c r="F5" s="496"/>
      <c r="G5" s="496"/>
      <c r="H5" s="496"/>
      <c r="I5" s="496"/>
      <c r="J5" s="497"/>
      <c r="L5" s="185"/>
      <c r="M5" s="186"/>
      <c r="N5" s="124"/>
    </row>
    <row r="6" spans="1:16" ht="13" x14ac:dyDescent="0.25">
      <c r="A6" s="495" t="s">
        <v>244</v>
      </c>
      <c r="B6" s="496"/>
      <c r="C6" s="496"/>
      <c r="D6" s="496"/>
      <c r="E6" s="496"/>
      <c r="F6" s="496"/>
      <c r="G6" s="496"/>
      <c r="H6" s="496"/>
      <c r="I6" s="496"/>
      <c r="J6" s="497"/>
      <c r="L6" s="185"/>
      <c r="M6" s="211"/>
    </row>
    <row r="7" spans="1:16" x14ac:dyDescent="0.25">
      <c r="A7" s="500"/>
      <c r="B7" s="500"/>
      <c r="C7" s="500"/>
      <c r="D7" s="500"/>
      <c r="E7" s="500"/>
      <c r="F7" s="500"/>
      <c r="G7" s="500"/>
      <c r="H7" s="500"/>
      <c r="I7" s="500"/>
      <c r="J7" s="500"/>
      <c r="L7" s="185"/>
      <c r="M7" s="186"/>
      <c r="N7" s="10"/>
      <c r="P7" s="113"/>
    </row>
    <row r="8" spans="1:16" ht="12.75" customHeight="1" thickBot="1" x14ac:dyDescent="0.3">
      <c r="A8" s="486" t="s">
        <v>55</v>
      </c>
      <c r="B8" s="486"/>
      <c r="C8" s="486"/>
      <c r="D8" s="486"/>
      <c r="E8" s="486"/>
      <c r="F8" s="486"/>
      <c r="G8" s="486"/>
      <c r="H8" s="486"/>
      <c r="I8" s="486"/>
      <c r="J8" s="486"/>
      <c r="K8" s="11"/>
      <c r="L8" s="4"/>
      <c r="M8" s="62"/>
      <c r="N8" s="112"/>
      <c r="P8" s="113"/>
    </row>
    <row r="9" spans="1:16" ht="12.75" customHeight="1" thickTop="1" x14ac:dyDescent="0.25">
      <c r="A9" s="135" t="s">
        <v>0</v>
      </c>
      <c r="B9" s="481" t="s">
        <v>56</v>
      </c>
      <c r="C9" s="481"/>
      <c r="D9" s="481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ht="13" x14ac:dyDescent="0.25">
      <c r="A10" s="135" t="s">
        <v>1</v>
      </c>
      <c r="B10" s="481" t="s">
        <v>57</v>
      </c>
      <c r="C10" s="481"/>
      <c r="D10" s="481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3">
      <c r="A11" s="135" t="s">
        <v>2</v>
      </c>
      <c r="B11" s="481" t="s">
        <v>58</v>
      </c>
      <c r="C11" s="481"/>
      <c r="D11" s="481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3">
      <c r="A12" s="16" t="s">
        <v>3</v>
      </c>
      <c r="B12" s="481" t="s">
        <v>59</v>
      </c>
      <c r="C12" s="481"/>
      <c r="D12" s="481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5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5">
      <c r="A14" s="486" t="s">
        <v>21</v>
      </c>
      <c r="B14" s="486"/>
      <c r="C14" s="486"/>
      <c r="D14" s="486"/>
      <c r="E14" s="486"/>
      <c r="F14" s="486"/>
      <c r="G14" s="486"/>
      <c r="H14" s="486"/>
      <c r="I14" s="486"/>
      <c r="J14" s="486"/>
      <c r="K14" s="11"/>
      <c r="L14" s="5" t="s">
        <v>32</v>
      </c>
      <c r="M14" s="66">
        <v>4.8</v>
      </c>
    </row>
    <row r="15" spans="1:16" s="20" customFormat="1" ht="36.75" customHeight="1" x14ac:dyDescent="0.25">
      <c r="A15" s="485" t="s">
        <v>22</v>
      </c>
      <c r="B15" s="485"/>
      <c r="C15" s="135" t="s">
        <v>23</v>
      </c>
      <c r="D15" s="485" t="s">
        <v>61</v>
      </c>
      <c r="E15" s="485"/>
      <c r="F15" s="485"/>
      <c r="G15" s="485"/>
      <c r="H15" s="485"/>
      <c r="I15" s="485"/>
      <c r="J15" s="485"/>
      <c r="K15" s="11"/>
      <c r="L15" s="5" t="s">
        <v>33</v>
      </c>
      <c r="M15" s="64">
        <v>0.06</v>
      </c>
    </row>
    <row r="16" spans="1:16" ht="37.5" x14ac:dyDescent="0.25">
      <c r="A16" s="492" t="s">
        <v>145</v>
      </c>
      <c r="B16" s="492"/>
      <c r="C16" s="136" t="s">
        <v>191</v>
      </c>
      <c r="D16" s="492">
        <v>2</v>
      </c>
      <c r="E16" s="492"/>
      <c r="F16" s="492"/>
      <c r="G16" s="492"/>
      <c r="H16" s="492"/>
      <c r="I16" s="492"/>
      <c r="J16" s="492"/>
      <c r="K16" s="14"/>
      <c r="L16" s="5" t="s">
        <v>34</v>
      </c>
      <c r="M16" s="72">
        <v>15</v>
      </c>
    </row>
    <row r="17" spans="1:13" ht="13.5" thickBot="1" x14ac:dyDescent="0.3">
      <c r="L17" s="7" t="s">
        <v>35</v>
      </c>
      <c r="M17" s="67">
        <f>ROUND((M13*M14*M16)-(M15*J32),2)</f>
        <v>38.14</v>
      </c>
    </row>
    <row r="18" spans="1:13" ht="29.25" customHeight="1" thickTop="1" thickBot="1" x14ac:dyDescent="0.3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5">
      <c r="A19" s="22">
        <v>1</v>
      </c>
      <c r="B19" s="491" t="s">
        <v>7</v>
      </c>
      <c r="C19" s="491"/>
      <c r="D19" s="491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ht="13" x14ac:dyDescent="0.25">
      <c r="A20" s="24">
        <v>2</v>
      </c>
      <c r="B20" s="481" t="s">
        <v>63</v>
      </c>
      <c r="C20" s="481"/>
      <c r="D20" s="481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15</v>
      </c>
    </row>
    <row r="21" spans="1:13" ht="13" x14ac:dyDescent="0.25">
      <c r="A21" s="22">
        <v>3</v>
      </c>
      <c r="B21" s="481" t="s">
        <v>64</v>
      </c>
      <c r="C21" s="481"/>
      <c r="D21" s="481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358.95</v>
      </c>
    </row>
    <row r="22" spans="1:13" ht="13" x14ac:dyDescent="0.25">
      <c r="A22" s="24">
        <v>4</v>
      </c>
      <c r="B22" s="481" t="s">
        <v>8</v>
      </c>
      <c r="C22" s="481"/>
      <c r="D22" s="481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71.790000000000006</v>
      </c>
    </row>
    <row r="23" spans="1:13" ht="13.5" thickBot="1" x14ac:dyDescent="0.3">
      <c r="A23" s="22">
        <v>5</v>
      </c>
      <c r="B23" s="481" t="s">
        <v>9</v>
      </c>
      <c r="C23" s="481"/>
      <c r="D23" s="481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287.15999999999997</v>
      </c>
    </row>
    <row r="24" spans="1:13" ht="13.5" thickTop="1" x14ac:dyDescent="0.25">
      <c r="A24" s="24">
        <v>6</v>
      </c>
      <c r="B24" s="491" t="s">
        <v>248</v>
      </c>
      <c r="C24" s="491"/>
      <c r="D24" s="491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ht="13" x14ac:dyDescent="0.25">
      <c r="A25" s="22">
        <v>7</v>
      </c>
      <c r="B25" s="481" t="s">
        <v>249</v>
      </c>
      <c r="C25" s="481"/>
      <c r="D25" s="481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ht="13" x14ac:dyDescent="0.25">
      <c r="A26" s="24">
        <v>8</v>
      </c>
      <c r="B26" s="481" t="s">
        <v>250</v>
      </c>
      <c r="C26" s="481"/>
      <c r="D26" s="481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ht="13" x14ac:dyDescent="0.25">
      <c r="A27" s="22">
        <v>9</v>
      </c>
      <c r="B27" s="481" t="s">
        <v>251</v>
      </c>
      <c r="C27" s="481"/>
      <c r="D27" s="481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ht="13" x14ac:dyDescent="0.25">
      <c r="A28" s="24">
        <v>10</v>
      </c>
      <c r="B28" s="481" t="s">
        <v>252</v>
      </c>
      <c r="C28" s="481"/>
      <c r="D28" s="481"/>
      <c r="E28" s="188">
        <v>2</v>
      </c>
      <c r="F28" s="188">
        <v>2</v>
      </c>
      <c r="G28" s="188">
        <v>2</v>
      </c>
      <c r="H28" s="327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5">
      <c r="G29" s="169"/>
      <c r="H29" s="328"/>
      <c r="I29" s="169"/>
      <c r="J29" s="169"/>
      <c r="K29" s="233"/>
      <c r="L29" s="185"/>
      <c r="M29" s="207"/>
    </row>
    <row r="30" spans="1:13" ht="13" x14ac:dyDescent="0.25">
      <c r="A30" s="478" t="s">
        <v>65</v>
      </c>
      <c r="B30" s="479"/>
      <c r="C30" s="479"/>
      <c r="D30" s="479"/>
      <c r="E30" s="479"/>
      <c r="F30" s="479"/>
      <c r="G30" s="479"/>
      <c r="H30" s="479"/>
      <c r="I30" s="479"/>
      <c r="J30" s="480"/>
      <c r="L30" s="185"/>
      <c r="M30" s="207"/>
    </row>
    <row r="31" spans="1:13" ht="13" x14ac:dyDescent="0.25">
      <c r="A31" s="29">
        <v>1</v>
      </c>
      <c r="B31" s="478" t="s">
        <v>66</v>
      </c>
      <c r="C31" s="480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ht="13" x14ac:dyDescent="0.25">
      <c r="A32" s="32" t="s">
        <v>0</v>
      </c>
      <c r="B32" s="471" t="s">
        <v>24</v>
      </c>
      <c r="C32" s="472"/>
      <c r="D32" s="33"/>
      <c r="E32" s="34">
        <v>1447.6</v>
      </c>
      <c r="F32" s="329">
        <v>1500.4</v>
      </c>
      <c r="G32" s="329">
        <v>1500.4</v>
      </c>
      <c r="H32" s="329">
        <v>1590.6</v>
      </c>
      <c r="I32" s="329">
        <v>1590.6</v>
      </c>
      <c r="J32" s="344">
        <f>J21</f>
        <v>1764.4</v>
      </c>
      <c r="L32" s="185"/>
      <c r="M32" s="212"/>
    </row>
    <row r="33" spans="1:14" ht="28.5" customHeight="1" x14ac:dyDescent="0.25">
      <c r="A33" s="32" t="s">
        <v>1</v>
      </c>
      <c r="B33" s="471" t="s">
        <v>304</v>
      </c>
      <c r="C33" s="472"/>
      <c r="D33" s="120">
        <v>0.3</v>
      </c>
      <c r="E33" s="34">
        <v>434.28</v>
      </c>
      <c r="F33" s="34">
        <v>450.12</v>
      </c>
      <c r="G33" s="34">
        <v>450.12</v>
      </c>
      <c r="H33" s="329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5">
      <c r="A34" s="32" t="s">
        <v>2</v>
      </c>
      <c r="B34" s="471" t="s">
        <v>305</v>
      </c>
      <c r="C34" s="472"/>
      <c r="D34" s="33"/>
      <c r="E34" s="34">
        <v>16.45</v>
      </c>
      <c r="F34" s="34">
        <v>17.05</v>
      </c>
      <c r="G34" s="34">
        <v>17.05</v>
      </c>
      <c r="H34" s="329">
        <v>18.079999999999998</v>
      </c>
      <c r="I34" s="34">
        <v>18.079999999999998</v>
      </c>
      <c r="J34" s="34">
        <f>ROUND((J32/220)/6*15,2)</f>
        <v>20.05</v>
      </c>
      <c r="L34" s="170"/>
      <c r="M34" s="170"/>
      <c r="N34" s="170"/>
    </row>
    <row r="35" spans="1:14" ht="42" customHeight="1" x14ac:dyDescent="0.25">
      <c r="A35" s="32" t="s">
        <v>3</v>
      </c>
      <c r="B35" s="471" t="s">
        <v>306</v>
      </c>
      <c r="C35" s="472"/>
      <c r="D35" s="33"/>
      <c r="E35" s="34">
        <v>179.63</v>
      </c>
      <c r="F35" s="34">
        <v>186.19</v>
      </c>
      <c r="G35" s="34">
        <v>186.19</v>
      </c>
      <c r="H35" s="329">
        <v>197.38</v>
      </c>
      <c r="I35" s="34">
        <v>197.38</v>
      </c>
      <c r="J35" s="34">
        <f>ROUND(((J32+J33)/220)*105*0.2,2)</f>
        <v>218.95</v>
      </c>
      <c r="L35" s="170"/>
      <c r="M35" s="170"/>
    </row>
    <row r="36" spans="1:14" ht="56.25" customHeight="1" x14ac:dyDescent="0.25">
      <c r="A36" s="32" t="s">
        <v>4</v>
      </c>
      <c r="B36" s="471" t="s">
        <v>307</v>
      </c>
      <c r="C36" s="472"/>
      <c r="D36" s="33"/>
      <c r="E36" s="34">
        <v>230.96</v>
      </c>
      <c r="F36" s="34">
        <v>239.38</v>
      </c>
      <c r="G36" s="34">
        <v>239.38</v>
      </c>
      <c r="H36" s="329">
        <v>253.77</v>
      </c>
      <c r="I36" s="34">
        <v>253.77</v>
      </c>
      <c r="J36" s="34">
        <f>ROUND(((J32+J33)/220)*(105/52.5*7.5)*1.5*1.2,2)</f>
        <v>281.5</v>
      </c>
    </row>
    <row r="37" spans="1:14" ht="13" x14ac:dyDescent="0.25">
      <c r="A37" s="32" t="s">
        <v>5</v>
      </c>
      <c r="B37" s="471" t="s">
        <v>50</v>
      </c>
      <c r="C37" s="472"/>
      <c r="D37" s="33"/>
      <c r="E37" s="34">
        <v>71.19</v>
      </c>
      <c r="F37" s="34">
        <v>73.78</v>
      </c>
      <c r="G37" s="34">
        <v>73.78</v>
      </c>
      <c r="H37" s="329">
        <v>78.22</v>
      </c>
      <c r="I37" s="34">
        <v>78.22</v>
      </c>
      <c r="J37" s="34">
        <f>ROUND((J34+J35+J36)*16.67%,2)</f>
        <v>86.77</v>
      </c>
      <c r="K37" s="170">
        <f>ROUND((J34)*16.67%,2)</f>
        <v>3.34</v>
      </c>
      <c r="M37" s="9"/>
    </row>
    <row r="38" spans="1:14" ht="13" x14ac:dyDescent="0.25">
      <c r="A38" s="32" t="s">
        <v>6</v>
      </c>
      <c r="B38" s="471" t="s">
        <v>216</v>
      </c>
      <c r="C38" s="472"/>
      <c r="D38" s="33"/>
      <c r="E38" s="34">
        <v>0</v>
      </c>
      <c r="F38" s="34">
        <v>0</v>
      </c>
      <c r="G38" s="34">
        <v>0</v>
      </c>
      <c r="H38" s="329">
        <v>0</v>
      </c>
      <c r="I38" s="34">
        <v>0</v>
      </c>
      <c r="J38" s="34">
        <v>0</v>
      </c>
      <c r="M38" s="9"/>
    </row>
    <row r="39" spans="1:14" ht="13" x14ac:dyDescent="0.25">
      <c r="A39" s="475" t="s">
        <v>157</v>
      </c>
      <c r="B39" s="476"/>
      <c r="C39" s="476"/>
      <c r="D39" s="477"/>
      <c r="E39" s="35">
        <v>2380.11</v>
      </c>
      <c r="F39" s="31">
        <v>2466.92</v>
      </c>
      <c r="G39" s="35">
        <v>2466.92</v>
      </c>
      <c r="H39" s="35">
        <v>2615.23</v>
      </c>
      <c r="I39" s="35">
        <f>ROUND(SUM(I32:I38),2)</f>
        <v>2615.23</v>
      </c>
      <c r="J39" s="35">
        <f>ROUND(SUM(J32:J38),2)</f>
        <v>2900.99</v>
      </c>
      <c r="K39" s="35">
        <f>ROUND(SUM(J32:J38),2)-J34-K37</f>
        <v>2877.5999999999995</v>
      </c>
      <c r="M39" s="9"/>
    </row>
    <row r="40" spans="1:14" x14ac:dyDescent="0.25">
      <c r="M40" s="9"/>
    </row>
    <row r="41" spans="1:14" ht="13" x14ac:dyDescent="0.25">
      <c r="A41" s="478" t="s">
        <v>68</v>
      </c>
      <c r="B41" s="479"/>
      <c r="C41" s="479"/>
      <c r="D41" s="479"/>
      <c r="E41" s="479"/>
      <c r="F41" s="479"/>
      <c r="G41" s="479"/>
      <c r="H41" s="479"/>
      <c r="I41" s="479"/>
      <c r="J41" s="480"/>
      <c r="M41" s="9"/>
    </row>
    <row r="42" spans="1:14" ht="13" x14ac:dyDescent="0.25">
      <c r="A42" s="478" t="s">
        <v>69</v>
      </c>
      <c r="B42" s="479"/>
      <c r="C42" s="480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ht="13" x14ac:dyDescent="0.25">
      <c r="A43" s="32" t="s">
        <v>0</v>
      </c>
      <c r="B43" s="471" t="s">
        <v>70</v>
      </c>
      <c r="C43" s="472"/>
      <c r="D43" s="36">
        <f>'Encargos Sociais'!C5</f>
        <v>8.3299999999999999E-2</v>
      </c>
      <c r="E43" s="34">
        <v>196.66</v>
      </c>
      <c r="F43" s="34">
        <v>203.84</v>
      </c>
      <c r="G43" s="34">
        <v>203.84</v>
      </c>
      <c r="H43" s="329">
        <v>216.09</v>
      </c>
      <c r="I43" s="34">
        <v>216.09</v>
      </c>
      <c r="J43" s="34">
        <f>ROUND(D43*$K$39,2)</f>
        <v>239.7</v>
      </c>
    </row>
    <row r="44" spans="1:14" ht="13" x14ac:dyDescent="0.25">
      <c r="A44" s="32" t="s">
        <v>1</v>
      </c>
      <c r="B44" s="471" t="s">
        <v>49</v>
      </c>
      <c r="C44" s="472"/>
      <c r="D44" s="36">
        <f>'Encargos Sociais'!C11</f>
        <v>0.121</v>
      </c>
      <c r="E44" s="34">
        <v>285.67</v>
      </c>
      <c r="F44" s="34">
        <v>296.08999999999997</v>
      </c>
      <c r="G44" s="34">
        <v>296.08999999999997</v>
      </c>
      <c r="H44" s="329">
        <v>313.89</v>
      </c>
      <c r="I44" s="34">
        <v>313.89</v>
      </c>
      <c r="J44" s="34">
        <f>ROUND(D44*$K$39,2)</f>
        <v>348.19</v>
      </c>
      <c r="M44" s="9"/>
    </row>
    <row r="45" spans="1:14" ht="12.75" customHeight="1" x14ac:dyDescent="0.25">
      <c r="A45" s="475" t="s">
        <v>156</v>
      </c>
      <c r="B45" s="476"/>
      <c r="C45" s="477"/>
      <c r="D45" s="37">
        <f>SUM(D43:D44)</f>
        <v>0.20429999999999998</v>
      </c>
      <c r="E45" s="35">
        <v>482.33</v>
      </c>
      <c r="F45" s="35">
        <v>499.93</v>
      </c>
      <c r="G45" s="35">
        <v>499.93</v>
      </c>
      <c r="H45" s="35">
        <v>529.98</v>
      </c>
      <c r="I45" s="35">
        <f>ROUND(SUM(I43:I44),2)</f>
        <v>529.98</v>
      </c>
      <c r="J45" s="35">
        <f>ROUND(SUM(J43:J44),2)</f>
        <v>587.89</v>
      </c>
      <c r="M45" s="9"/>
    </row>
    <row r="46" spans="1:14" x14ac:dyDescent="0.25">
      <c r="M46" s="9"/>
    </row>
    <row r="47" spans="1:14" ht="12.75" customHeight="1" x14ac:dyDescent="0.25">
      <c r="A47" s="478" t="s">
        <v>71</v>
      </c>
      <c r="B47" s="479"/>
      <c r="C47" s="480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ht="13" x14ac:dyDescent="0.25">
      <c r="A48" s="32" t="s">
        <v>0</v>
      </c>
      <c r="B48" s="489" t="s">
        <v>16</v>
      </c>
      <c r="C48" s="490"/>
      <c r="D48" s="36">
        <f>'Encargos Sociais'!C16</f>
        <v>0.2</v>
      </c>
      <c r="E48" s="34">
        <v>472.18</v>
      </c>
      <c r="F48" s="34">
        <v>489.41</v>
      </c>
      <c r="G48" s="34">
        <v>489.41</v>
      </c>
      <c r="H48" s="329">
        <v>518.83000000000004</v>
      </c>
      <c r="I48" s="34">
        <v>518.83000000000004</v>
      </c>
      <c r="J48" s="34">
        <f t="shared" ref="J48:J55" si="0">ROUND(D48*($K$39),2)</f>
        <v>575.52</v>
      </c>
      <c r="M48" s="9"/>
    </row>
    <row r="49" spans="1:13" ht="13" x14ac:dyDescent="0.25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59.02</v>
      </c>
      <c r="F49" s="34">
        <v>61.18</v>
      </c>
      <c r="G49" s="34">
        <v>61.18</v>
      </c>
      <c r="H49" s="329">
        <v>64.849999999999994</v>
      </c>
      <c r="I49" s="34">
        <v>64.849999999999994</v>
      </c>
      <c r="J49" s="34">
        <f t="shared" si="0"/>
        <v>71.94</v>
      </c>
    </row>
    <row r="50" spans="1:13" ht="13" x14ac:dyDescent="0.25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96.33</v>
      </c>
      <c r="F50" s="34">
        <v>99.84</v>
      </c>
      <c r="G50" s="34">
        <v>99.84</v>
      </c>
      <c r="H50" s="329">
        <v>105.84</v>
      </c>
      <c r="I50" s="34">
        <v>105.84</v>
      </c>
      <c r="J50" s="34">
        <f t="shared" si="0"/>
        <v>117.41</v>
      </c>
    </row>
    <row r="51" spans="1:13" ht="13" x14ac:dyDescent="0.25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35.409999999999997</v>
      </c>
      <c r="F51" s="34">
        <v>36.71</v>
      </c>
      <c r="G51" s="34">
        <v>36.71</v>
      </c>
      <c r="H51" s="329">
        <v>38.909999999999997</v>
      </c>
      <c r="I51" s="34">
        <v>38.909999999999997</v>
      </c>
      <c r="J51" s="34">
        <f t="shared" si="0"/>
        <v>43.16</v>
      </c>
    </row>
    <row r="52" spans="1:13" ht="13" x14ac:dyDescent="0.25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23.61</v>
      </c>
      <c r="F52" s="34">
        <v>24.47</v>
      </c>
      <c r="G52" s="34">
        <v>24.47</v>
      </c>
      <c r="H52" s="329">
        <v>25.94</v>
      </c>
      <c r="I52" s="34">
        <v>25.94</v>
      </c>
      <c r="J52" s="34">
        <f t="shared" si="0"/>
        <v>28.78</v>
      </c>
    </row>
    <row r="53" spans="1:13" ht="13" x14ac:dyDescent="0.25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14.17</v>
      </c>
      <c r="F53" s="34">
        <v>14.68</v>
      </c>
      <c r="G53" s="34">
        <v>14.68</v>
      </c>
      <c r="H53" s="329">
        <v>15.56</v>
      </c>
      <c r="I53" s="34">
        <v>15.56</v>
      </c>
      <c r="J53" s="34">
        <f t="shared" si="0"/>
        <v>17.27</v>
      </c>
    </row>
    <row r="54" spans="1:13" ht="13" x14ac:dyDescent="0.25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4.72</v>
      </c>
      <c r="F54" s="34">
        <v>4.8899999999999997</v>
      </c>
      <c r="G54" s="34">
        <v>4.8899999999999997</v>
      </c>
      <c r="H54" s="329">
        <v>5.19</v>
      </c>
      <c r="I54" s="34">
        <v>5.19</v>
      </c>
      <c r="J54" s="34">
        <f t="shared" si="0"/>
        <v>5.76</v>
      </c>
    </row>
    <row r="55" spans="1:13" ht="13" x14ac:dyDescent="0.25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188.87</v>
      </c>
      <c r="F55" s="34">
        <v>195.76</v>
      </c>
      <c r="G55" s="34">
        <v>195.76</v>
      </c>
      <c r="H55" s="329">
        <v>207.53</v>
      </c>
      <c r="I55" s="34">
        <v>207.53</v>
      </c>
      <c r="J55" s="34">
        <f t="shared" si="0"/>
        <v>230.21</v>
      </c>
    </row>
    <row r="56" spans="1:13" ht="12.75" customHeight="1" x14ac:dyDescent="0.25">
      <c r="A56" s="475" t="s">
        <v>156</v>
      </c>
      <c r="B56" s="476"/>
      <c r="C56" s="477"/>
      <c r="D56" s="37">
        <f>SUM(D48:D55)</f>
        <v>0.37880000000000008</v>
      </c>
      <c r="E56" s="35">
        <v>894.31</v>
      </c>
      <c r="F56" s="35">
        <v>926.94</v>
      </c>
      <c r="G56" s="35">
        <v>926.94</v>
      </c>
      <c r="H56" s="35">
        <v>982.65</v>
      </c>
      <c r="I56" s="35">
        <f>ROUND(SUM(I48:I55),2)</f>
        <v>982.65</v>
      </c>
      <c r="J56" s="35">
        <f>ROUND(SUM(J48:J55),2)</f>
        <v>1090.05</v>
      </c>
      <c r="K56" s="210"/>
      <c r="L56" s="20"/>
    </row>
    <row r="58" spans="1:13" ht="12.75" customHeight="1" x14ac:dyDescent="0.25">
      <c r="A58" s="478" t="s">
        <v>75</v>
      </c>
      <c r="B58" s="479"/>
      <c r="C58" s="480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5">
      <c r="A59" s="32" t="s">
        <v>0</v>
      </c>
      <c r="B59" s="471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72"/>
      <c r="D59" s="38" t="s">
        <v>76</v>
      </c>
      <c r="E59" s="34">
        <v>42.14</v>
      </c>
      <c r="F59" s="34">
        <v>38.979999999999997</v>
      </c>
      <c r="G59" s="34">
        <v>50.98</v>
      </c>
      <c r="H59" s="329">
        <v>45.56</v>
      </c>
      <c r="I59" s="34">
        <v>48.56</v>
      </c>
      <c r="J59" s="34">
        <f>IF(M17&lt;=0,0,IF(M17&gt;0,M17))</f>
        <v>38.14</v>
      </c>
      <c r="K59" s="39"/>
      <c r="L59" s="40"/>
    </row>
    <row r="60" spans="1:13" ht="54" customHeight="1" x14ac:dyDescent="0.25">
      <c r="A60" s="32" t="s">
        <v>1</v>
      </c>
      <c r="B60" s="471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15 Dias Trabalhados) - (20% do desconto legal) ]</v>
      </c>
      <c r="C60" s="472"/>
      <c r="D60" s="38" t="s">
        <v>76</v>
      </c>
      <c r="E60" s="34">
        <v>230.76</v>
      </c>
      <c r="F60" s="329">
        <v>240</v>
      </c>
      <c r="G60" s="329">
        <v>240</v>
      </c>
      <c r="H60" s="329">
        <v>258</v>
      </c>
      <c r="I60" s="329">
        <v>258</v>
      </c>
      <c r="J60" s="344">
        <f>M23</f>
        <v>287.15999999999997</v>
      </c>
      <c r="K60" s="39"/>
      <c r="L60" s="40"/>
      <c r="M60" s="41"/>
    </row>
    <row r="61" spans="1:13" ht="13" x14ac:dyDescent="0.25">
      <c r="A61" s="32" t="s">
        <v>2</v>
      </c>
      <c r="B61" s="471" t="s">
        <v>314</v>
      </c>
      <c r="C61" s="472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5">
      <c r="A62" s="475" t="s">
        <v>156</v>
      </c>
      <c r="B62" s="476"/>
      <c r="C62" s="477"/>
      <c r="D62" s="42"/>
      <c r="E62" s="35">
        <v>275.39999999999998</v>
      </c>
      <c r="F62" s="35">
        <v>281.48</v>
      </c>
      <c r="G62" s="35">
        <v>293.48</v>
      </c>
      <c r="H62" s="35">
        <v>306.06</v>
      </c>
      <c r="I62" s="35">
        <f>ROUND(SUM(I59:I61),2)</f>
        <v>309.06</v>
      </c>
      <c r="J62" s="35">
        <f>ROUND(SUM(J59:J61),2)</f>
        <v>327.8</v>
      </c>
    </row>
    <row r="64" spans="1:13" ht="12.75" customHeight="1" x14ac:dyDescent="0.25">
      <c r="A64" s="486" t="s">
        <v>77</v>
      </c>
      <c r="B64" s="486"/>
      <c r="C64" s="486"/>
      <c r="D64" s="486"/>
      <c r="E64" s="486"/>
      <c r="F64" s="486"/>
      <c r="G64" s="486"/>
      <c r="H64" s="486"/>
      <c r="I64" s="486"/>
      <c r="J64" s="486"/>
    </row>
    <row r="65" spans="1:10" ht="12.75" customHeight="1" x14ac:dyDescent="0.25">
      <c r="A65" s="486" t="s">
        <v>78</v>
      </c>
      <c r="B65" s="486"/>
      <c r="C65" s="486"/>
      <c r="D65" s="486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ht="13" x14ac:dyDescent="0.25">
      <c r="A66" s="135" t="s">
        <v>79</v>
      </c>
      <c r="B66" s="481" t="s">
        <v>80</v>
      </c>
      <c r="C66" s="481"/>
      <c r="D66" s="481"/>
      <c r="E66" s="230">
        <v>482.33</v>
      </c>
      <c r="F66" s="25">
        <v>499.93</v>
      </c>
      <c r="G66" s="25">
        <v>499.93</v>
      </c>
      <c r="H66" s="323">
        <v>529.98</v>
      </c>
      <c r="I66" s="25">
        <v>529.98</v>
      </c>
      <c r="J66" s="25">
        <f>J45</f>
        <v>587.89</v>
      </c>
    </row>
    <row r="67" spans="1:10" ht="13" x14ac:dyDescent="0.25">
      <c r="A67" s="135" t="s">
        <v>81</v>
      </c>
      <c r="B67" s="481" t="s">
        <v>82</v>
      </c>
      <c r="C67" s="481"/>
      <c r="D67" s="481"/>
      <c r="E67" s="230">
        <v>894.31</v>
      </c>
      <c r="F67" s="25">
        <v>926.94</v>
      </c>
      <c r="G67" s="25">
        <v>926.94</v>
      </c>
      <c r="H67" s="323">
        <v>982.65</v>
      </c>
      <c r="I67" s="25">
        <v>982.65</v>
      </c>
      <c r="J67" s="25">
        <f>J56</f>
        <v>1090.05</v>
      </c>
    </row>
    <row r="68" spans="1:10" ht="13" x14ac:dyDescent="0.25">
      <c r="A68" s="135" t="s">
        <v>83</v>
      </c>
      <c r="B68" s="481" t="s">
        <v>25</v>
      </c>
      <c r="C68" s="481"/>
      <c r="D68" s="481"/>
      <c r="E68" s="230">
        <v>275.39999999999998</v>
      </c>
      <c r="F68" s="25">
        <v>281.48</v>
      </c>
      <c r="G68" s="25">
        <v>293.48</v>
      </c>
      <c r="H68" s="323">
        <v>306.06</v>
      </c>
      <c r="I68" s="25">
        <v>309.06</v>
      </c>
      <c r="J68" s="25">
        <f>J62</f>
        <v>327.8</v>
      </c>
    </row>
    <row r="69" spans="1:10" ht="12.75" customHeight="1" x14ac:dyDescent="0.25">
      <c r="A69" s="474" t="s">
        <v>156</v>
      </c>
      <c r="B69" s="474"/>
      <c r="C69" s="474"/>
      <c r="D69" s="474"/>
      <c r="E69" s="241">
        <v>1652.04</v>
      </c>
      <c r="F69" s="128">
        <v>1708.35</v>
      </c>
      <c r="G69" s="35">
        <v>1720.35</v>
      </c>
      <c r="H69" s="35">
        <v>1818.69</v>
      </c>
      <c r="I69" s="35">
        <f>ROUND(SUM(I66:I68),2)</f>
        <v>1821.69</v>
      </c>
      <c r="J69" s="35">
        <f>ROUND(SUM(J66:J68),2)</f>
        <v>2005.74</v>
      </c>
    </row>
    <row r="71" spans="1:10" ht="13" x14ac:dyDescent="0.25">
      <c r="A71" s="478" t="s">
        <v>84</v>
      </c>
      <c r="B71" s="479"/>
      <c r="C71" s="479"/>
      <c r="D71" s="479"/>
      <c r="E71" s="479"/>
      <c r="F71" s="479"/>
      <c r="G71" s="479"/>
      <c r="H71" s="479"/>
      <c r="I71" s="479"/>
      <c r="J71" s="480"/>
    </row>
    <row r="72" spans="1:10" ht="13" x14ac:dyDescent="0.25">
      <c r="A72" s="29">
        <v>3</v>
      </c>
      <c r="B72" s="478" t="s">
        <v>85</v>
      </c>
      <c r="C72" s="480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ht="13" x14ac:dyDescent="0.25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9.92</v>
      </c>
      <c r="F73" s="34">
        <v>10.28</v>
      </c>
      <c r="G73" s="34">
        <v>10.28</v>
      </c>
      <c r="H73" s="329">
        <v>10.9</v>
      </c>
      <c r="I73" s="34">
        <v>10.9</v>
      </c>
      <c r="J73" s="34">
        <f t="shared" ref="J73:J78" si="1">ROUND(D73*$K$39,2)</f>
        <v>12.09</v>
      </c>
    </row>
    <row r="74" spans="1:10" ht="13" x14ac:dyDescent="0.25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0.71</v>
      </c>
      <c r="F74" s="34">
        <v>0.73</v>
      </c>
      <c r="G74" s="34">
        <v>0.73</v>
      </c>
      <c r="H74" s="329">
        <v>0.78</v>
      </c>
      <c r="I74" s="34">
        <v>0.78</v>
      </c>
      <c r="J74" s="34">
        <f t="shared" si="1"/>
        <v>0.86</v>
      </c>
    </row>
    <row r="75" spans="1:10" ht="25.5" customHeight="1" x14ac:dyDescent="0.25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5.67</v>
      </c>
      <c r="F75" s="34">
        <v>5.87</v>
      </c>
      <c r="G75" s="34">
        <v>4.7</v>
      </c>
      <c r="H75" s="329">
        <v>4.9800000000000004</v>
      </c>
      <c r="I75" s="34">
        <v>4.9800000000000004</v>
      </c>
      <c r="J75" s="34">
        <f t="shared" si="1"/>
        <v>5.52</v>
      </c>
    </row>
    <row r="76" spans="1:10" ht="13" x14ac:dyDescent="0.25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3.78</v>
      </c>
      <c r="F76" s="34">
        <v>3.92</v>
      </c>
      <c r="G76" s="34">
        <v>3.92</v>
      </c>
      <c r="H76" s="329">
        <v>4.1500000000000004</v>
      </c>
      <c r="I76" s="34">
        <v>4.1500000000000004</v>
      </c>
      <c r="J76" s="34">
        <f t="shared" si="1"/>
        <v>4.5999999999999996</v>
      </c>
    </row>
    <row r="77" spans="1:10" ht="25.5" customHeight="1" x14ac:dyDescent="0.25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1.42</v>
      </c>
      <c r="F77" s="34">
        <v>1.47</v>
      </c>
      <c r="G77" s="34">
        <v>1.47</v>
      </c>
      <c r="H77" s="329">
        <v>1.56</v>
      </c>
      <c r="I77" s="34">
        <v>1.56</v>
      </c>
      <c r="J77" s="34">
        <f t="shared" si="1"/>
        <v>1.73</v>
      </c>
    </row>
    <row r="78" spans="1:10" ht="25.5" customHeight="1" x14ac:dyDescent="0.25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112.38</v>
      </c>
      <c r="F78" s="34">
        <v>116.48</v>
      </c>
      <c r="G78" s="34">
        <v>93.18</v>
      </c>
      <c r="H78" s="329">
        <v>98.78</v>
      </c>
      <c r="I78" s="34">
        <v>98.78</v>
      </c>
      <c r="J78" s="34">
        <f t="shared" si="1"/>
        <v>109.58</v>
      </c>
    </row>
    <row r="79" spans="1:10" ht="12.75" customHeight="1" x14ac:dyDescent="0.25">
      <c r="A79" s="475" t="s">
        <v>156</v>
      </c>
      <c r="B79" s="476"/>
      <c r="C79" s="477"/>
      <c r="D79" s="37">
        <f>SUM(D73:D78)</f>
        <v>4.6699999999999992E-2</v>
      </c>
      <c r="E79" s="31">
        <v>133.88</v>
      </c>
      <c r="F79" s="35">
        <v>138.75</v>
      </c>
      <c r="G79" s="35">
        <v>114.28</v>
      </c>
      <c r="H79" s="35">
        <v>121.15</v>
      </c>
      <c r="I79" s="35">
        <f>ROUND(SUM(I73:I78),2)</f>
        <v>121.15</v>
      </c>
      <c r="J79" s="35">
        <f>ROUND(SUM(J73:J78),2)</f>
        <v>134.38</v>
      </c>
    </row>
    <row r="81" spans="1:10" ht="13" x14ac:dyDescent="0.25">
      <c r="A81" s="478" t="s">
        <v>92</v>
      </c>
      <c r="B81" s="479"/>
      <c r="C81" s="479"/>
      <c r="D81" s="479"/>
      <c r="E81" s="479"/>
      <c r="F81" s="479"/>
      <c r="G81" s="479"/>
      <c r="H81" s="479"/>
      <c r="I81" s="479"/>
      <c r="J81" s="480"/>
    </row>
    <row r="82" spans="1:10" ht="13" x14ac:dyDescent="0.25">
      <c r="A82" s="46"/>
      <c r="B82" s="478" t="s">
        <v>93</v>
      </c>
      <c r="C82" s="480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ht="13" x14ac:dyDescent="0.25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23.85</v>
      </c>
      <c r="F83" s="34">
        <v>24.72</v>
      </c>
      <c r="G83" s="34">
        <v>24.72</v>
      </c>
      <c r="H83" s="329">
        <v>26.2</v>
      </c>
      <c r="I83" s="34">
        <v>26.2</v>
      </c>
      <c r="J83" s="34">
        <f t="shared" ref="J83:J88" si="2">ROUND(D83*$K$39,2)</f>
        <v>29.06</v>
      </c>
    </row>
    <row r="84" spans="1:10" ht="13" x14ac:dyDescent="0.25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13.22</v>
      </c>
      <c r="F84" s="34">
        <v>13.7</v>
      </c>
      <c r="G84" s="34">
        <v>13.7</v>
      </c>
      <c r="H84" s="329">
        <v>14.53</v>
      </c>
      <c r="I84" s="34">
        <v>14.53</v>
      </c>
      <c r="J84" s="34">
        <f t="shared" si="2"/>
        <v>16.11</v>
      </c>
    </row>
    <row r="85" spans="1:10" ht="13" x14ac:dyDescent="0.25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32.82</v>
      </c>
      <c r="F85" s="34">
        <v>34.01</v>
      </c>
      <c r="G85" s="34">
        <v>34.01</v>
      </c>
      <c r="H85" s="329">
        <v>36.06</v>
      </c>
      <c r="I85" s="34">
        <v>36.06</v>
      </c>
      <c r="J85" s="34">
        <f t="shared" si="2"/>
        <v>40</v>
      </c>
    </row>
    <row r="86" spans="1:10" ht="13" x14ac:dyDescent="0.25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4.01</v>
      </c>
      <c r="F86" s="34">
        <v>4.16</v>
      </c>
      <c r="G86" s="34">
        <v>4.16</v>
      </c>
      <c r="H86" s="329">
        <v>4.41</v>
      </c>
      <c r="I86" s="34">
        <v>4.41</v>
      </c>
      <c r="J86" s="34">
        <f t="shared" si="2"/>
        <v>4.8899999999999997</v>
      </c>
    </row>
    <row r="87" spans="1:10" ht="13" x14ac:dyDescent="0.25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4.96</v>
      </c>
      <c r="F87" s="34">
        <v>5.14</v>
      </c>
      <c r="G87" s="34">
        <v>5.14</v>
      </c>
      <c r="H87" s="329">
        <v>5.45</v>
      </c>
      <c r="I87" s="34">
        <v>5.45</v>
      </c>
      <c r="J87" s="34">
        <f t="shared" si="2"/>
        <v>6.04</v>
      </c>
    </row>
    <row r="88" spans="1:10" ht="13" x14ac:dyDescent="0.25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1.65</v>
      </c>
      <c r="F88" s="34">
        <v>1.71</v>
      </c>
      <c r="G88" s="34">
        <v>1.71</v>
      </c>
      <c r="H88" s="329">
        <v>1.82</v>
      </c>
      <c r="I88" s="34">
        <v>1.82</v>
      </c>
      <c r="J88" s="34">
        <f t="shared" si="2"/>
        <v>2.0099999999999998</v>
      </c>
    </row>
    <row r="89" spans="1:10" ht="12.75" customHeight="1" x14ac:dyDescent="0.25">
      <c r="A89" s="475" t="s">
        <v>156</v>
      </c>
      <c r="B89" s="476"/>
      <c r="C89" s="477"/>
      <c r="D89" s="37">
        <f>SUM(D83:D88)</f>
        <v>3.4099999999999991E-2</v>
      </c>
      <c r="E89" s="35">
        <v>80.510000000000005</v>
      </c>
      <c r="F89" s="35">
        <v>83.44</v>
      </c>
      <c r="G89" s="35">
        <v>83.44</v>
      </c>
      <c r="H89" s="35">
        <v>88.47</v>
      </c>
      <c r="I89" s="35">
        <f>ROUND(SUM(I83:I88),2)</f>
        <v>88.47</v>
      </c>
      <c r="J89" s="35">
        <f>ROUND(SUM(J83:J88),2)</f>
        <v>98.11</v>
      </c>
    </row>
    <row r="90" spans="1:10" x14ac:dyDescent="0.25">
      <c r="E90" s="10"/>
      <c r="F90" s="10"/>
    </row>
    <row r="91" spans="1:10" ht="12.75" customHeight="1" x14ac:dyDescent="0.25">
      <c r="A91" s="478" t="s">
        <v>93</v>
      </c>
      <c r="B91" s="479"/>
      <c r="C91" s="479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5">
      <c r="A92" s="32" t="s">
        <v>6</v>
      </c>
      <c r="B92" s="471" t="s">
        <v>155</v>
      </c>
      <c r="C92" s="487"/>
      <c r="D92" s="129">
        <f>((D56)*(D45+D89))</f>
        <v>9.0305920000000012E-2</v>
      </c>
      <c r="E92" s="34">
        <v>213.21</v>
      </c>
      <c r="F92" s="34">
        <v>220.98</v>
      </c>
      <c r="G92" s="34">
        <v>220.98</v>
      </c>
      <c r="H92" s="329">
        <v>234.27</v>
      </c>
      <c r="I92" s="34">
        <v>234.27</v>
      </c>
      <c r="J92" s="34">
        <f>ROUND(D92*$K$39,2)</f>
        <v>259.86</v>
      </c>
    </row>
    <row r="93" spans="1:10" ht="12.75" customHeight="1" x14ac:dyDescent="0.25">
      <c r="A93" s="475" t="s">
        <v>156</v>
      </c>
      <c r="B93" s="476"/>
      <c r="C93" s="476"/>
      <c r="D93" s="130">
        <f>D92</f>
        <v>9.0305920000000012E-2</v>
      </c>
      <c r="E93" s="128">
        <v>213.21</v>
      </c>
      <c r="F93" s="128">
        <v>220.98</v>
      </c>
      <c r="G93" s="128">
        <v>220.98</v>
      </c>
      <c r="H93" s="128">
        <v>234.27</v>
      </c>
      <c r="I93" s="128">
        <f>ROUND(SUM(I92:I92),2)</f>
        <v>234.27</v>
      </c>
      <c r="J93" s="128">
        <f>ROUND(SUM(J92:J92),2)</f>
        <v>259.86</v>
      </c>
    </row>
    <row r="94" spans="1:10" x14ac:dyDescent="0.25">
      <c r="E94" s="10"/>
      <c r="F94" s="10"/>
    </row>
    <row r="95" spans="1:10" ht="12.75" customHeight="1" x14ac:dyDescent="0.25">
      <c r="A95" s="478" t="s">
        <v>142</v>
      </c>
      <c r="B95" s="479"/>
      <c r="C95" s="479"/>
      <c r="D95" s="480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ht="13" x14ac:dyDescent="0.25">
      <c r="A96" s="32" t="s">
        <v>0</v>
      </c>
      <c r="B96" s="471" t="s">
        <v>253</v>
      </c>
      <c r="C96" s="487"/>
      <c r="D96" s="472"/>
      <c r="E96" s="34">
        <v>74.03</v>
      </c>
      <c r="F96" s="34">
        <v>76.73</v>
      </c>
      <c r="G96" s="34">
        <v>76.73</v>
      </c>
      <c r="H96" s="329">
        <v>81.34</v>
      </c>
      <c r="I96" s="34">
        <f>ROUND((I21/220)*M16*1.5*0.25,2)</f>
        <v>40.67</v>
      </c>
      <c r="J96" s="34">
        <f>ROUND((J21/220)*M16*1.5*0.5,2)</f>
        <v>90.23</v>
      </c>
    </row>
    <row r="97" spans="1:16" ht="12.75" customHeight="1" x14ac:dyDescent="0.25">
      <c r="A97" s="475" t="s">
        <v>156</v>
      </c>
      <c r="B97" s="476"/>
      <c r="C97" s="476"/>
      <c r="D97" s="477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40.67</v>
      </c>
      <c r="J97" s="35">
        <f>ROUND(SUM(J96:J96),2)</f>
        <v>90.23</v>
      </c>
    </row>
    <row r="98" spans="1:16" ht="33" customHeight="1" x14ac:dyDescent="0.25">
      <c r="A98" s="488" t="s">
        <v>143</v>
      </c>
      <c r="B98" s="488"/>
      <c r="C98" s="488"/>
      <c r="D98" s="488"/>
      <c r="E98" s="488"/>
      <c r="F98" s="488"/>
      <c r="G98" s="488"/>
      <c r="H98" s="488"/>
      <c r="I98" s="488"/>
      <c r="J98" s="488"/>
    </row>
    <row r="100" spans="1:16" ht="12.75" customHeight="1" x14ac:dyDescent="0.25">
      <c r="A100" s="486" t="s">
        <v>99</v>
      </c>
      <c r="B100" s="486"/>
      <c r="C100" s="486"/>
      <c r="D100" s="486"/>
      <c r="E100" s="486"/>
      <c r="F100" s="486"/>
      <c r="G100" s="486"/>
      <c r="H100" s="486"/>
      <c r="I100" s="486"/>
      <c r="J100" s="486"/>
    </row>
    <row r="101" spans="1:16" ht="12.75" customHeight="1" x14ac:dyDescent="0.25">
      <c r="A101" s="486" t="s">
        <v>100</v>
      </c>
      <c r="B101" s="486"/>
      <c r="C101" s="486"/>
      <c r="D101" s="486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ht="13" x14ac:dyDescent="0.25">
      <c r="A102" s="48" t="s">
        <v>26</v>
      </c>
      <c r="B102" s="481" t="s">
        <v>95</v>
      </c>
      <c r="C102" s="481"/>
      <c r="D102" s="481"/>
      <c r="E102" s="25">
        <v>293.72000000000003</v>
      </c>
      <c r="F102" s="25">
        <v>304.42</v>
      </c>
      <c r="G102" s="25">
        <v>304.42</v>
      </c>
      <c r="H102" s="323">
        <v>322.74</v>
      </c>
      <c r="I102" s="25">
        <v>322.74</v>
      </c>
      <c r="J102" s="25">
        <f>ROUND(J89+J93,2)</f>
        <v>357.97</v>
      </c>
    </row>
    <row r="103" spans="1:16" ht="13" x14ac:dyDescent="0.25">
      <c r="A103" s="48" t="s">
        <v>27</v>
      </c>
      <c r="B103" s="481" t="s">
        <v>101</v>
      </c>
      <c r="C103" s="481"/>
      <c r="D103" s="481"/>
      <c r="E103" s="25">
        <v>74.03</v>
      </c>
      <c r="F103" s="25">
        <v>76.73</v>
      </c>
      <c r="G103" s="25">
        <v>76.73</v>
      </c>
      <c r="H103" s="323">
        <v>81.34</v>
      </c>
      <c r="I103" s="25">
        <f>I97</f>
        <v>40.67</v>
      </c>
      <c r="J103" s="25">
        <f>J97</f>
        <v>90.23</v>
      </c>
    </row>
    <row r="104" spans="1:16" s="137" customFormat="1" ht="12.75" customHeight="1" x14ac:dyDescent="0.25">
      <c r="A104" s="474" t="s">
        <v>102</v>
      </c>
      <c r="B104" s="474"/>
      <c r="C104" s="474"/>
      <c r="D104" s="474"/>
      <c r="E104" s="35">
        <v>367.75</v>
      </c>
      <c r="F104" s="35">
        <v>381.15</v>
      </c>
      <c r="G104" s="35">
        <v>381.15</v>
      </c>
      <c r="H104" s="35">
        <v>404.08</v>
      </c>
      <c r="I104" s="35">
        <f>ROUND(SUM(I102:I103),2)</f>
        <v>363.41</v>
      </c>
      <c r="J104" s="35">
        <f>ROUND(SUM(J102:J103),2)</f>
        <v>448.2</v>
      </c>
      <c r="K104" s="9"/>
      <c r="L104" s="9"/>
      <c r="N104" s="9"/>
      <c r="O104" s="9"/>
      <c r="P104" s="9"/>
    </row>
    <row r="106" spans="1:16" s="137" customFormat="1" ht="13" x14ac:dyDescent="0.25">
      <c r="A106" s="478" t="s">
        <v>103</v>
      </c>
      <c r="B106" s="479"/>
      <c r="C106" s="479"/>
      <c r="D106" s="479"/>
      <c r="E106" s="479"/>
      <c r="F106" s="479"/>
      <c r="G106" s="479"/>
      <c r="H106" s="479"/>
      <c r="I106" s="479"/>
      <c r="J106" s="480"/>
      <c r="K106" s="9"/>
      <c r="L106" s="9"/>
      <c r="N106" s="9"/>
      <c r="O106" s="9"/>
      <c r="P106" s="9"/>
    </row>
    <row r="107" spans="1:16" s="137" customFormat="1" ht="13" x14ac:dyDescent="0.25">
      <c r="A107" s="29">
        <v>5</v>
      </c>
      <c r="B107" s="478" t="s">
        <v>104</v>
      </c>
      <c r="C107" s="480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ht="13" x14ac:dyDescent="0.25">
      <c r="A108" s="32" t="s">
        <v>0</v>
      </c>
      <c r="B108" s="471" t="s">
        <v>129</v>
      </c>
      <c r="C108" s="472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18.72</v>
      </c>
      <c r="K108" s="9"/>
      <c r="L108" s="9"/>
      <c r="N108" s="9"/>
      <c r="O108" s="9"/>
      <c r="P108" s="9"/>
    </row>
    <row r="109" spans="1:16" s="137" customFormat="1" ht="13" x14ac:dyDescent="0.25">
      <c r="A109" s="32" t="s">
        <v>1</v>
      </c>
      <c r="B109" s="471" t="s">
        <v>190</v>
      </c>
      <c r="C109" s="472"/>
      <c r="D109" s="38" t="s">
        <v>76</v>
      </c>
      <c r="E109" s="34">
        <v>32.19</v>
      </c>
      <c r="F109" s="34">
        <v>32.19</v>
      </c>
      <c r="G109" s="34">
        <v>32.19</v>
      </c>
      <c r="H109" s="329">
        <v>32.19</v>
      </c>
      <c r="I109" s="34">
        <v>32.19</v>
      </c>
      <c r="J109" s="347">
        <f>'Uniformes e Equiptos'!H29</f>
        <v>35.409999999999997</v>
      </c>
      <c r="K109" s="49"/>
      <c r="L109" s="9"/>
      <c r="N109" s="9"/>
      <c r="O109" s="9"/>
      <c r="P109" s="9"/>
    </row>
    <row r="110" spans="1:16" s="137" customFormat="1" ht="13" x14ac:dyDescent="0.25">
      <c r="A110" s="32" t="s">
        <v>2</v>
      </c>
      <c r="B110" s="471" t="s">
        <v>187</v>
      </c>
      <c r="C110" s="472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5">
      <c r="A111" s="475" t="s">
        <v>156</v>
      </c>
      <c r="B111" s="476"/>
      <c r="C111" s="477"/>
      <c r="D111" s="50" t="s">
        <v>76</v>
      </c>
      <c r="E111" s="35">
        <v>49.19</v>
      </c>
      <c r="F111" s="35">
        <v>49.19</v>
      </c>
      <c r="G111" s="35">
        <v>49.19</v>
      </c>
      <c r="H111" s="35">
        <v>49.19</v>
      </c>
      <c r="I111" s="35">
        <f>ROUND(SUM(I108:I110),2)</f>
        <v>49.19</v>
      </c>
      <c r="J111" s="35">
        <f>ROUND(SUM(J108:J110),2)</f>
        <v>54.13</v>
      </c>
      <c r="K111" s="9"/>
      <c r="L111" s="9"/>
      <c r="N111" s="9"/>
      <c r="O111" s="9"/>
      <c r="P111" s="9"/>
    </row>
    <row r="113" spans="1:16" s="137" customFormat="1" ht="13" x14ac:dyDescent="0.25">
      <c r="A113" s="478" t="s">
        <v>105</v>
      </c>
      <c r="B113" s="479"/>
      <c r="C113" s="479"/>
      <c r="D113" s="479"/>
      <c r="E113" s="479"/>
      <c r="F113" s="479"/>
      <c r="G113" s="479"/>
      <c r="H113" s="479"/>
      <c r="I113" s="479"/>
      <c r="J113" s="480"/>
      <c r="K113" s="9"/>
      <c r="L113" s="9"/>
      <c r="N113" s="9"/>
      <c r="O113" s="9"/>
      <c r="P113" s="9"/>
    </row>
    <row r="114" spans="1:16" s="137" customFormat="1" ht="13" x14ac:dyDescent="0.25">
      <c r="A114" s="29">
        <v>6</v>
      </c>
      <c r="B114" s="478" t="s">
        <v>106</v>
      </c>
      <c r="C114" s="480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5">
      <c r="A115" s="32" t="s">
        <v>0</v>
      </c>
      <c r="B115" s="471" t="s">
        <v>301</v>
      </c>
      <c r="C115" s="472"/>
      <c r="D115" s="51">
        <v>0.03</v>
      </c>
      <c r="E115" s="34">
        <v>137.49</v>
      </c>
      <c r="F115" s="34">
        <v>142.33000000000001</v>
      </c>
      <c r="G115" s="34">
        <v>141.96</v>
      </c>
      <c r="H115" s="329">
        <v>150.25</v>
      </c>
      <c r="I115" s="34">
        <v>150.34</v>
      </c>
      <c r="J115" s="34">
        <f>ROUND(J130*D115,2)</f>
        <v>166.3</v>
      </c>
      <c r="K115" s="132"/>
      <c r="L115" s="138"/>
      <c r="N115" s="9"/>
      <c r="O115" s="9"/>
      <c r="P115" s="9"/>
    </row>
    <row r="116" spans="1:16" s="137" customFormat="1" ht="13" x14ac:dyDescent="0.25">
      <c r="A116" s="32" t="s">
        <v>1</v>
      </c>
      <c r="B116" s="52" t="s">
        <v>12</v>
      </c>
      <c r="C116" s="53"/>
      <c r="D116" s="51">
        <v>1.0200000000000001E-2</v>
      </c>
      <c r="E116" s="34">
        <v>48.15</v>
      </c>
      <c r="F116" s="34">
        <v>49.84</v>
      </c>
      <c r="G116" s="34">
        <v>49.71</v>
      </c>
      <c r="H116" s="329">
        <v>52.62</v>
      </c>
      <c r="I116" s="34">
        <v>52.65</v>
      </c>
      <c r="J116" s="34">
        <f>ROUND((J130+J115)*D116,2)</f>
        <v>58.24</v>
      </c>
      <c r="K116" s="133"/>
      <c r="L116" s="139"/>
      <c r="N116" s="9"/>
      <c r="O116" s="9"/>
      <c r="P116" s="9"/>
    </row>
    <row r="117" spans="1:16" s="137" customFormat="1" ht="13" x14ac:dyDescent="0.25">
      <c r="A117" s="32" t="s">
        <v>2</v>
      </c>
      <c r="B117" s="483" t="s">
        <v>302</v>
      </c>
      <c r="C117" s="484"/>
      <c r="D117" s="54"/>
      <c r="E117" s="55"/>
      <c r="F117" s="55"/>
      <c r="G117" s="55"/>
      <c r="H117" s="330"/>
      <c r="I117" s="55"/>
      <c r="J117" s="55"/>
      <c r="K117" s="9"/>
      <c r="L117" s="9"/>
      <c r="N117" s="9"/>
      <c r="O117" s="9"/>
      <c r="P117" s="9"/>
    </row>
    <row r="118" spans="1:16" s="137" customFormat="1" ht="13" x14ac:dyDescent="0.25">
      <c r="A118" s="32" t="s">
        <v>107</v>
      </c>
      <c r="B118" s="471" t="s">
        <v>13</v>
      </c>
      <c r="C118" s="472"/>
      <c r="D118" s="51">
        <v>6.4999999999999997E-3</v>
      </c>
      <c r="E118" s="34">
        <v>33.03</v>
      </c>
      <c r="F118" s="34">
        <v>34.19</v>
      </c>
      <c r="G118" s="34">
        <v>34.1</v>
      </c>
      <c r="H118" s="329">
        <v>36.090000000000003</v>
      </c>
      <c r="I118" s="34">
        <v>36.11</v>
      </c>
      <c r="J118" s="34">
        <f>ROUND((($J$130+$J$115+$J$116)/(1-($D$118+$D$119+$D$120)))*D118,2)</f>
        <v>39.950000000000003</v>
      </c>
      <c r="K118" s="469"/>
      <c r="L118" s="470"/>
      <c r="N118" s="9"/>
      <c r="O118" s="9"/>
      <c r="P118" s="9"/>
    </row>
    <row r="119" spans="1:16" s="137" customFormat="1" ht="13" x14ac:dyDescent="0.25">
      <c r="A119" s="32" t="s">
        <v>108</v>
      </c>
      <c r="B119" s="471" t="s">
        <v>14</v>
      </c>
      <c r="C119" s="472"/>
      <c r="D119" s="51">
        <v>0.03</v>
      </c>
      <c r="E119" s="34">
        <v>152.43</v>
      </c>
      <c r="F119" s="34">
        <v>157.80000000000001</v>
      </c>
      <c r="G119" s="34">
        <v>157.38999999999999</v>
      </c>
      <c r="H119" s="329">
        <v>166.58</v>
      </c>
      <c r="I119" s="34">
        <v>166.68</v>
      </c>
      <c r="J119" s="34">
        <f>ROUND((($J$130+$J$115+$J$116)/(1-($D$118+$D$119+$D$120)))*D119,2)</f>
        <v>184.38</v>
      </c>
      <c r="K119" s="469"/>
      <c r="L119" s="470"/>
      <c r="N119" s="9"/>
      <c r="O119" s="9"/>
      <c r="P119" s="9"/>
    </row>
    <row r="120" spans="1:16" ht="13" x14ac:dyDescent="0.25">
      <c r="A120" s="32" t="s">
        <v>109</v>
      </c>
      <c r="B120" s="471" t="s">
        <v>30</v>
      </c>
      <c r="C120" s="472"/>
      <c r="D120" s="51">
        <f>M9</f>
        <v>2.5000000000000001E-2</v>
      </c>
      <c r="E120" s="34">
        <v>127.03</v>
      </c>
      <c r="F120" s="34">
        <v>131.5</v>
      </c>
      <c r="G120" s="34">
        <v>131.16</v>
      </c>
      <c r="H120" s="329">
        <v>138.82</v>
      </c>
      <c r="I120" s="34">
        <v>138.9</v>
      </c>
      <c r="J120" s="34">
        <f>ROUND((($J$130+$J$115+$J$116)/(1-($D$118+$D$119+$D$120)))*D120,2)</f>
        <v>153.65</v>
      </c>
    </row>
    <row r="121" spans="1:16" ht="12.75" customHeight="1" x14ac:dyDescent="0.25">
      <c r="A121" s="475" t="s">
        <v>157</v>
      </c>
      <c r="B121" s="476"/>
      <c r="C121" s="477"/>
      <c r="D121" s="47">
        <f>SUM(D115:D120)</f>
        <v>0.10169999999999998</v>
      </c>
      <c r="E121" s="31">
        <v>498.13</v>
      </c>
      <c r="F121" s="31">
        <v>515.66000000000008</v>
      </c>
      <c r="G121" s="31">
        <v>514.31999999999994</v>
      </c>
      <c r="H121" s="31">
        <v>544.36</v>
      </c>
      <c r="I121" s="31">
        <f>SUM(I115:I120)</f>
        <v>544.68000000000006</v>
      </c>
      <c r="J121" s="31">
        <f>SUM(J115:J120)</f>
        <v>602.52</v>
      </c>
    </row>
    <row r="123" spans="1:16" ht="12.75" customHeight="1" x14ac:dyDescent="0.25">
      <c r="A123" s="486" t="s">
        <v>110</v>
      </c>
      <c r="B123" s="486"/>
      <c r="C123" s="486"/>
      <c r="D123" s="486"/>
      <c r="E123" s="486"/>
      <c r="F123" s="486"/>
      <c r="G123" s="486"/>
      <c r="H123" s="486"/>
      <c r="I123" s="486"/>
      <c r="J123" s="486"/>
    </row>
    <row r="124" spans="1:16" ht="12.75" customHeight="1" x14ac:dyDescent="0.25">
      <c r="A124" s="486" t="s">
        <v>111</v>
      </c>
      <c r="B124" s="486"/>
      <c r="C124" s="486"/>
      <c r="D124" s="486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5">
      <c r="A125" s="136" t="s">
        <v>0</v>
      </c>
      <c r="B125" s="481" t="s">
        <v>65</v>
      </c>
      <c r="C125" s="481"/>
      <c r="D125" s="481"/>
      <c r="E125" s="25">
        <v>2380.11</v>
      </c>
      <c r="F125" s="25">
        <v>2466.92</v>
      </c>
      <c r="G125" s="25">
        <v>2466.92</v>
      </c>
      <c r="H125" s="323">
        <v>2615.23</v>
      </c>
      <c r="I125" s="25">
        <v>2615.23</v>
      </c>
      <c r="J125" s="25">
        <f>J39</f>
        <v>2900.99</v>
      </c>
    </row>
    <row r="126" spans="1:16" x14ac:dyDescent="0.25">
      <c r="A126" s="136" t="s">
        <v>1</v>
      </c>
      <c r="B126" s="481" t="s">
        <v>68</v>
      </c>
      <c r="C126" s="481"/>
      <c r="D126" s="481"/>
      <c r="E126" s="25">
        <v>1652.04</v>
      </c>
      <c r="F126" s="25">
        <v>1708.35</v>
      </c>
      <c r="G126" s="25">
        <v>1720.35</v>
      </c>
      <c r="H126" s="323">
        <v>1818.69</v>
      </c>
      <c r="I126" s="25">
        <v>1821.69</v>
      </c>
      <c r="J126" s="25">
        <f>J69</f>
        <v>2005.74</v>
      </c>
    </row>
    <row r="127" spans="1:16" x14ac:dyDescent="0.25">
      <c r="A127" s="136" t="s">
        <v>2</v>
      </c>
      <c r="B127" s="481" t="s">
        <v>84</v>
      </c>
      <c r="C127" s="481"/>
      <c r="D127" s="481"/>
      <c r="E127" s="25">
        <v>133.88</v>
      </c>
      <c r="F127" s="25">
        <v>138.75</v>
      </c>
      <c r="G127" s="25">
        <v>114.28</v>
      </c>
      <c r="H127" s="323">
        <v>121.15</v>
      </c>
      <c r="I127" s="25">
        <v>121.15</v>
      </c>
      <c r="J127" s="25">
        <f>J79</f>
        <v>134.38</v>
      </c>
    </row>
    <row r="128" spans="1:16" x14ac:dyDescent="0.25">
      <c r="A128" s="56" t="s">
        <v>3</v>
      </c>
      <c r="B128" s="481" t="s">
        <v>92</v>
      </c>
      <c r="C128" s="481"/>
      <c r="D128" s="481"/>
      <c r="E128" s="25">
        <v>367.75</v>
      </c>
      <c r="F128" s="25">
        <v>381.15</v>
      </c>
      <c r="G128" s="25">
        <v>381.15</v>
      </c>
      <c r="H128" s="323">
        <v>404.08</v>
      </c>
      <c r="I128" s="25">
        <v>404.08</v>
      </c>
      <c r="J128" s="25">
        <f>J104</f>
        <v>448.2</v>
      </c>
      <c r="L128" s="218"/>
    </row>
    <row r="129" spans="1:12" x14ac:dyDescent="0.25">
      <c r="A129" s="57" t="s">
        <v>4</v>
      </c>
      <c r="B129" s="481" t="s">
        <v>103</v>
      </c>
      <c r="C129" s="481"/>
      <c r="D129" s="481"/>
      <c r="E129" s="58">
        <v>49.19</v>
      </c>
      <c r="F129" s="58">
        <v>49.19</v>
      </c>
      <c r="G129" s="58">
        <v>49.19</v>
      </c>
      <c r="H129" s="331">
        <v>49.19</v>
      </c>
      <c r="I129" s="58">
        <v>49.19</v>
      </c>
      <c r="J129" s="58">
        <f>J111</f>
        <v>54.13</v>
      </c>
      <c r="L129" s="218"/>
    </row>
    <row r="130" spans="1:12" ht="13" x14ac:dyDescent="0.25">
      <c r="A130" s="59"/>
      <c r="B130" s="482" t="s">
        <v>112</v>
      </c>
      <c r="C130" s="482"/>
      <c r="D130" s="482"/>
      <c r="E130" s="60">
        <v>4582.9699999999993</v>
      </c>
      <c r="F130" s="60">
        <v>4744.3599999999997</v>
      </c>
      <c r="G130" s="60">
        <v>4731.8899999999994</v>
      </c>
      <c r="H130" s="60">
        <v>5008.3399999999992</v>
      </c>
      <c r="I130" s="60">
        <v>5011.3399999999992</v>
      </c>
      <c r="J130" s="60">
        <f>SUM(J125:J129)</f>
        <v>5543.44</v>
      </c>
    </row>
    <row r="131" spans="1:12" x14ac:dyDescent="0.25">
      <c r="A131" s="136" t="s">
        <v>5</v>
      </c>
      <c r="B131" s="481" t="s">
        <v>105</v>
      </c>
      <c r="C131" s="481"/>
      <c r="D131" s="481"/>
      <c r="E131" s="25">
        <v>498.13</v>
      </c>
      <c r="F131" s="25">
        <v>515.66000000000008</v>
      </c>
      <c r="G131" s="25">
        <v>514.31999999999994</v>
      </c>
      <c r="H131" s="323">
        <v>544.36</v>
      </c>
      <c r="I131" s="25">
        <v>544.68000000000006</v>
      </c>
      <c r="J131" s="25">
        <f>J121</f>
        <v>602.52</v>
      </c>
    </row>
    <row r="132" spans="1:12" ht="13" x14ac:dyDescent="0.25">
      <c r="A132" s="474" t="s">
        <v>113</v>
      </c>
      <c r="B132" s="474"/>
      <c r="C132" s="474"/>
      <c r="D132" s="474"/>
      <c r="E132" s="119">
        <v>5081.1000000000004</v>
      </c>
      <c r="F132" s="119">
        <v>5260.02</v>
      </c>
      <c r="G132" s="119">
        <v>5246.21</v>
      </c>
      <c r="H132" s="119">
        <v>5552.7</v>
      </c>
      <c r="I132" s="119">
        <v>5556.02</v>
      </c>
      <c r="J132" s="119">
        <f>ROUND(SUM(J130:J131),2)</f>
        <v>6145.96</v>
      </c>
    </row>
    <row r="133" spans="1:12" ht="13" x14ac:dyDescent="0.25">
      <c r="A133" s="485" t="s">
        <v>140</v>
      </c>
      <c r="B133" s="485"/>
      <c r="C133" s="485"/>
      <c r="D133" s="485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ht="13" x14ac:dyDescent="0.25">
      <c r="A134" s="473" t="s">
        <v>141</v>
      </c>
      <c r="B134" s="473"/>
      <c r="C134" s="473"/>
      <c r="D134" s="473"/>
      <c r="E134" s="235">
        <v>10162.200000000001</v>
      </c>
      <c r="F134" s="235">
        <v>10520.04</v>
      </c>
      <c r="G134" s="111">
        <v>10492.42</v>
      </c>
      <c r="H134" s="111">
        <v>11105.4</v>
      </c>
      <c r="I134" s="111">
        <f>ROUND(I132*I133,2)</f>
        <v>11112.04</v>
      </c>
      <c r="J134" s="111">
        <f>ROUND(J132*J133,2)</f>
        <v>12291.92</v>
      </c>
    </row>
  </sheetData>
  <mergeCells count="123">
    <mergeCell ref="A1:J1"/>
    <mergeCell ref="L3:M3"/>
    <mergeCell ref="A3:C3"/>
    <mergeCell ref="D3:J3"/>
    <mergeCell ref="A4:C4"/>
    <mergeCell ref="D4:J4"/>
    <mergeCell ref="A8:J8"/>
    <mergeCell ref="B9:D9"/>
    <mergeCell ref="B10:D10"/>
    <mergeCell ref="A7:J7"/>
    <mergeCell ref="A5:J5"/>
    <mergeCell ref="A6:J6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32:C32"/>
    <mergeCell ref="B33:C33"/>
    <mergeCell ref="B34:C34"/>
    <mergeCell ref="B35:C35"/>
    <mergeCell ref="B36:C36"/>
    <mergeCell ref="B37:C37"/>
    <mergeCell ref="A39:D39"/>
    <mergeCell ref="A41:J41"/>
    <mergeCell ref="A42:C42"/>
    <mergeCell ref="B38:C38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A95:D95"/>
    <mergeCell ref="B96:D96"/>
    <mergeCell ref="A97:D97"/>
    <mergeCell ref="A98:J98"/>
    <mergeCell ref="A100:J100"/>
    <mergeCell ref="A101:D101"/>
    <mergeCell ref="B115:C115"/>
    <mergeCell ref="B102:D102"/>
    <mergeCell ref="B103:D103"/>
    <mergeCell ref="A104:D104"/>
    <mergeCell ref="A106:J106"/>
    <mergeCell ref="B107:C107"/>
    <mergeCell ref="B108:C108"/>
    <mergeCell ref="K118:L118"/>
    <mergeCell ref="B119:C119"/>
    <mergeCell ref="K119:L119"/>
    <mergeCell ref="A134:D134"/>
    <mergeCell ref="A132:D132"/>
    <mergeCell ref="B109:C109"/>
    <mergeCell ref="B110:C110"/>
    <mergeCell ref="A111:C111"/>
    <mergeCell ref="A113:J113"/>
    <mergeCell ref="B114:C114"/>
    <mergeCell ref="B127:D127"/>
    <mergeCell ref="B128:D128"/>
    <mergeCell ref="B129:D129"/>
    <mergeCell ref="B130:D130"/>
    <mergeCell ref="B131:D131"/>
    <mergeCell ref="B120:C120"/>
    <mergeCell ref="A121:C121"/>
    <mergeCell ref="B117:C117"/>
    <mergeCell ref="B118:C118"/>
    <mergeCell ref="A133:D133"/>
    <mergeCell ref="A123:J123"/>
    <mergeCell ref="A124:D124"/>
    <mergeCell ref="B125:D125"/>
    <mergeCell ref="B126:D12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7">
    <tabColor theme="3"/>
  </sheetPr>
  <dimension ref="A1:P134"/>
  <sheetViews>
    <sheetView view="pageBreakPreview" topLeftCell="A10" zoomScaleNormal="100" zoomScaleSheetLayoutView="100" workbookViewId="0">
      <selection activeCell="J22" sqref="J22"/>
    </sheetView>
  </sheetViews>
  <sheetFormatPr defaultColWidth="9.1796875" defaultRowHeight="12.5" x14ac:dyDescent="0.25"/>
  <cols>
    <col min="1" max="1" width="7.1796875" style="9" customWidth="1"/>
    <col min="2" max="2" width="24.1796875" style="9" customWidth="1"/>
    <col min="3" max="3" width="34.81640625" style="9" customWidth="1"/>
    <col min="4" max="4" width="13.26953125" style="9" customWidth="1"/>
    <col min="5" max="6" width="19" style="9" hidden="1" customWidth="1"/>
    <col min="7" max="7" width="22.1796875" style="10" hidden="1" customWidth="1"/>
    <col min="8" max="8" width="22.1796875" style="322" hidden="1" customWidth="1"/>
    <col min="9" max="10" width="22.1796875" style="10" customWidth="1"/>
    <col min="11" max="11" width="21.453125" style="9" customWidth="1"/>
    <col min="12" max="12" width="33.453125" style="9" bestFit="1" customWidth="1"/>
    <col min="13" max="13" width="15.7265625" style="137" customWidth="1"/>
    <col min="14" max="14" width="17" style="9" customWidth="1"/>
    <col min="15" max="16384" width="9.1796875" style="9"/>
  </cols>
  <sheetData>
    <row r="1" spans="1:16" ht="13" x14ac:dyDescent="0.25">
      <c r="A1" s="493" t="s">
        <v>241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6" ht="13" x14ac:dyDescent="0.25">
      <c r="A2" s="134"/>
      <c r="B2" s="134"/>
      <c r="C2" s="134"/>
      <c r="D2" s="134"/>
      <c r="E2" s="228"/>
      <c r="F2" s="243"/>
      <c r="G2" s="305"/>
      <c r="H2" s="305"/>
      <c r="I2" s="318"/>
      <c r="J2" s="134"/>
      <c r="N2" s="123"/>
    </row>
    <row r="3" spans="1:16" ht="13" x14ac:dyDescent="0.25">
      <c r="A3" s="495" t="s">
        <v>242</v>
      </c>
      <c r="B3" s="496"/>
      <c r="C3" s="497"/>
      <c r="D3" s="498" t="s">
        <v>239</v>
      </c>
      <c r="E3" s="498"/>
      <c r="F3" s="498"/>
      <c r="G3" s="498"/>
      <c r="H3" s="498"/>
      <c r="I3" s="498"/>
      <c r="J3" s="498"/>
      <c r="L3" s="494"/>
      <c r="M3" s="494"/>
      <c r="N3" s="124"/>
    </row>
    <row r="4" spans="1:16" ht="13" x14ac:dyDescent="0.25">
      <c r="A4" s="495" t="s">
        <v>243</v>
      </c>
      <c r="B4" s="496"/>
      <c r="C4" s="497"/>
      <c r="D4" s="499" t="s">
        <v>240</v>
      </c>
      <c r="E4" s="499"/>
      <c r="F4" s="499"/>
      <c r="G4" s="499"/>
      <c r="H4" s="499"/>
      <c r="I4" s="499"/>
      <c r="J4" s="499"/>
      <c r="L4" s="185"/>
      <c r="M4" s="186"/>
    </row>
    <row r="5" spans="1:16" ht="13" x14ac:dyDescent="0.25">
      <c r="A5" s="495" t="s">
        <v>245</v>
      </c>
      <c r="B5" s="496"/>
      <c r="C5" s="496"/>
      <c r="D5" s="496"/>
      <c r="E5" s="496"/>
      <c r="F5" s="496"/>
      <c r="G5" s="496"/>
      <c r="H5" s="496"/>
      <c r="I5" s="496"/>
      <c r="J5" s="497"/>
      <c r="L5" s="185"/>
      <c r="M5" s="186"/>
      <c r="N5" s="124"/>
    </row>
    <row r="6" spans="1:16" ht="13" x14ac:dyDescent="0.25">
      <c r="A6" s="495" t="s">
        <v>244</v>
      </c>
      <c r="B6" s="496"/>
      <c r="C6" s="496"/>
      <c r="D6" s="496"/>
      <c r="E6" s="496"/>
      <c r="F6" s="496"/>
      <c r="G6" s="496"/>
      <c r="H6" s="496"/>
      <c r="I6" s="496"/>
      <c r="J6" s="497"/>
      <c r="L6" s="185"/>
      <c r="M6" s="211"/>
    </row>
    <row r="7" spans="1:16" x14ac:dyDescent="0.25">
      <c r="A7" s="500"/>
      <c r="B7" s="500"/>
      <c r="C7" s="500"/>
      <c r="D7" s="500"/>
      <c r="E7" s="500"/>
      <c r="F7" s="500"/>
      <c r="G7" s="500"/>
      <c r="H7" s="500"/>
      <c r="I7" s="500"/>
      <c r="J7" s="500"/>
      <c r="L7" s="185"/>
      <c r="M7" s="186"/>
      <c r="N7" s="10"/>
      <c r="P7" s="113"/>
    </row>
    <row r="8" spans="1:16" ht="12.75" customHeight="1" thickBot="1" x14ac:dyDescent="0.3">
      <c r="A8" s="486" t="s">
        <v>55</v>
      </c>
      <c r="B8" s="486"/>
      <c r="C8" s="486"/>
      <c r="D8" s="486"/>
      <c r="E8" s="486"/>
      <c r="F8" s="486"/>
      <c r="G8" s="486"/>
      <c r="H8" s="486"/>
      <c r="I8" s="486"/>
      <c r="J8" s="486"/>
      <c r="K8" s="11"/>
      <c r="L8" s="4"/>
      <c r="M8" s="62"/>
      <c r="N8" s="112"/>
      <c r="P8" s="113"/>
    </row>
    <row r="9" spans="1:16" ht="12.75" customHeight="1" thickTop="1" x14ac:dyDescent="0.25">
      <c r="A9" s="135" t="s">
        <v>0</v>
      </c>
      <c r="B9" s="481" t="s">
        <v>56</v>
      </c>
      <c r="C9" s="481"/>
      <c r="D9" s="481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ht="13" x14ac:dyDescent="0.25">
      <c r="A10" s="135" t="s">
        <v>1</v>
      </c>
      <c r="B10" s="481" t="s">
        <v>57</v>
      </c>
      <c r="C10" s="481"/>
      <c r="D10" s="481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3">
      <c r="A11" s="135" t="s">
        <v>2</v>
      </c>
      <c r="B11" s="481" t="s">
        <v>58</v>
      </c>
      <c r="C11" s="481"/>
      <c r="D11" s="481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3">
      <c r="A12" s="16" t="s">
        <v>3</v>
      </c>
      <c r="B12" s="481" t="s">
        <v>59</v>
      </c>
      <c r="C12" s="481"/>
      <c r="D12" s="481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5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5">
      <c r="A14" s="486" t="s">
        <v>21</v>
      </c>
      <c r="B14" s="486"/>
      <c r="C14" s="486"/>
      <c r="D14" s="486"/>
      <c r="E14" s="486"/>
      <c r="F14" s="486"/>
      <c r="G14" s="486"/>
      <c r="H14" s="486"/>
      <c r="I14" s="486"/>
      <c r="J14" s="486"/>
      <c r="K14" s="11"/>
      <c r="L14" s="5" t="s">
        <v>32</v>
      </c>
      <c r="M14" s="66">
        <v>4.8</v>
      </c>
    </row>
    <row r="15" spans="1:16" s="20" customFormat="1" ht="36.75" customHeight="1" x14ac:dyDescent="0.25">
      <c r="A15" s="485" t="s">
        <v>22</v>
      </c>
      <c r="B15" s="485"/>
      <c r="C15" s="135" t="s">
        <v>23</v>
      </c>
      <c r="D15" s="485" t="s">
        <v>61</v>
      </c>
      <c r="E15" s="485"/>
      <c r="F15" s="485"/>
      <c r="G15" s="485"/>
      <c r="H15" s="485"/>
      <c r="I15" s="485"/>
      <c r="J15" s="485"/>
      <c r="K15" s="11"/>
      <c r="L15" s="5" t="s">
        <v>33</v>
      </c>
      <c r="M15" s="64">
        <v>0.06</v>
      </c>
    </row>
    <row r="16" spans="1:16" x14ac:dyDescent="0.25">
      <c r="A16" s="492" t="s">
        <v>214</v>
      </c>
      <c r="B16" s="492"/>
      <c r="C16" s="136" t="s">
        <v>215</v>
      </c>
      <c r="D16" s="492">
        <v>1</v>
      </c>
      <c r="E16" s="492"/>
      <c r="F16" s="492"/>
      <c r="G16" s="492"/>
      <c r="H16" s="492"/>
      <c r="I16" s="492"/>
      <c r="J16" s="492"/>
      <c r="K16" s="14"/>
      <c r="L16" s="5" t="s">
        <v>34</v>
      </c>
      <c r="M16" s="72">
        <v>30</v>
      </c>
    </row>
    <row r="17" spans="1:13" ht="13.5" thickBot="1" x14ac:dyDescent="0.3">
      <c r="L17" s="7" t="s">
        <v>35</v>
      </c>
      <c r="M17" s="67">
        <f>ROUND((M13*M14*M16)-(M15*(J32+J38)),2)</f>
        <v>186.23</v>
      </c>
    </row>
    <row r="18" spans="1:13" ht="29.25" customHeight="1" thickTop="1" thickBot="1" x14ac:dyDescent="0.3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5">
      <c r="A19" s="22">
        <v>1</v>
      </c>
      <c r="B19" s="491" t="s">
        <v>7</v>
      </c>
      <c r="C19" s="491"/>
      <c r="D19" s="491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ht="13" x14ac:dyDescent="0.25">
      <c r="A20" s="24">
        <v>2</v>
      </c>
      <c r="B20" s="481" t="s">
        <v>63</v>
      </c>
      <c r="C20" s="481"/>
      <c r="D20" s="481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30</v>
      </c>
    </row>
    <row r="21" spans="1:13" ht="13" x14ac:dyDescent="0.25">
      <c r="A21" s="22">
        <v>3</v>
      </c>
      <c r="B21" s="481" t="s">
        <v>64</v>
      </c>
      <c r="C21" s="481"/>
      <c r="D21" s="481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717.9</v>
      </c>
    </row>
    <row r="22" spans="1:13" ht="13" x14ac:dyDescent="0.25">
      <c r="A22" s="24">
        <v>4</v>
      </c>
      <c r="B22" s="481" t="s">
        <v>8</v>
      </c>
      <c r="C22" s="481"/>
      <c r="D22" s="481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143.58000000000001</v>
      </c>
    </row>
    <row r="23" spans="1:13" ht="13.5" thickBot="1" x14ac:dyDescent="0.3">
      <c r="A23" s="22">
        <v>5</v>
      </c>
      <c r="B23" s="481" t="s">
        <v>9</v>
      </c>
      <c r="C23" s="481"/>
      <c r="D23" s="481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574.31999999999994</v>
      </c>
    </row>
    <row r="24" spans="1:13" ht="13.5" thickTop="1" x14ac:dyDescent="0.25">
      <c r="A24" s="24">
        <v>6</v>
      </c>
      <c r="B24" s="491" t="s">
        <v>248</v>
      </c>
      <c r="C24" s="491"/>
      <c r="D24" s="491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ht="13" x14ac:dyDescent="0.25">
      <c r="A25" s="22">
        <v>7</v>
      </c>
      <c r="B25" s="481" t="s">
        <v>249</v>
      </c>
      <c r="C25" s="481"/>
      <c r="D25" s="481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ht="13" x14ac:dyDescent="0.25">
      <c r="A26" s="24">
        <v>8</v>
      </c>
      <c r="B26" s="481" t="s">
        <v>250</v>
      </c>
      <c r="C26" s="481"/>
      <c r="D26" s="481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ht="13" x14ac:dyDescent="0.25">
      <c r="A27" s="22">
        <v>9</v>
      </c>
      <c r="B27" s="481" t="s">
        <v>251</v>
      </c>
      <c r="C27" s="481"/>
      <c r="D27" s="481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ht="13" x14ac:dyDescent="0.25">
      <c r="A28" s="24">
        <v>10</v>
      </c>
      <c r="B28" s="481" t="s">
        <v>252</v>
      </c>
      <c r="C28" s="481"/>
      <c r="D28" s="481"/>
      <c r="E28" s="188">
        <v>1</v>
      </c>
      <c r="F28" s="188">
        <v>1</v>
      </c>
      <c r="G28" s="188">
        <v>1</v>
      </c>
      <c r="H28" s="327">
        <v>1</v>
      </c>
      <c r="I28" s="188">
        <f>D16</f>
        <v>1</v>
      </c>
      <c r="J28" s="188">
        <f>D16</f>
        <v>1</v>
      </c>
      <c r="L28" s="185"/>
      <c r="M28" s="207"/>
    </row>
    <row r="29" spans="1:13" x14ac:dyDescent="0.25">
      <c r="G29" s="169"/>
      <c r="H29" s="328"/>
      <c r="I29" s="169"/>
      <c r="J29" s="169"/>
      <c r="K29" s="233"/>
      <c r="L29" s="185"/>
      <c r="M29" s="207"/>
    </row>
    <row r="30" spans="1:13" ht="13" x14ac:dyDescent="0.25">
      <c r="A30" s="478" t="s">
        <v>65</v>
      </c>
      <c r="B30" s="479"/>
      <c r="C30" s="479"/>
      <c r="D30" s="479"/>
      <c r="E30" s="479"/>
      <c r="F30" s="479"/>
      <c r="G30" s="479"/>
      <c r="H30" s="479"/>
      <c r="I30" s="479"/>
      <c r="J30" s="480"/>
      <c r="L30" s="185"/>
      <c r="M30" s="207"/>
    </row>
    <row r="31" spans="1:13" ht="13" x14ac:dyDescent="0.25">
      <c r="A31" s="29">
        <v>1</v>
      </c>
      <c r="B31" s="478" t="s">
        <v>66</v>
      </c>
      <c r="C31" s="480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ht="13" x14ac:dyDescent="0.25">
      <c r="A32" s="32" t="s">
        <v>0</v>
      </c>
      <c r="B32" s="471" t="s">
        <v>221</v>
      </c>
      <c r="C32" s="472"/>
      <c r="D32" s="33"/>
      <c r="E32" s="34">
        <v>1135.05</v>
      </c>
      <c r="F32" s="329">
        <v>1176.45</v>
      </c>
      <c r="G32" s="329">
        <v>1176.45</v>
      </c>
      <c r="H32" s="329">
        <v>1247.175</v>
      </c>
      <c r="I32" s="329">
        <v>1247.175</v>
      </c>
      <c r="J32" s="344">
        <f>J21/220*172.5</f>
        <v>1383.4499999999998</v>
      </c>
      <c r="L32" s="185"/>
      <c r="M32" s="212"/>
    </row>
    <row r="33" spans="1:14" ht="28.5" customHeight="1" x14ac:dyDescent="0.25">
      <c r="A33" s="32" t="s">
        <v>1</v>
      </c>
      <c r="B33" s="471" t="s">
        <v>304</v>
      </c>
      <c r="C33" s="472"/>
      <c r="D33" s="120">
        <v>0.3</v>
      </c>
      <c r="E33" s="34">
        <v>340.52</v>
      </c>
      <c r="F33" s="34">
        <v>352.94</v>
      </c>
      <c r="G33" s="34">
        <v>352.94</v>
      </c>
      <c r="H33" s="329">
        <v>374.15</v>
      </c>
      <c r="I33" s="34">
        <v>374.15</v>
      </c>
      <c r="J33" s="34">
        <f>ROUND(D33*J32,2)</f>
        <v>415.04</v>
      </c>
      <c r="L33" s="185"/>
      <c r="M33" s="213"/>
      <c r="N33" s="213"/>
    </row>
    <row r="34" spans="1:14" ht="44.25" customHeight="1" x14ac:dyDescent="0.25">
      <c r="A34" s="32" t="s">
        <v>2</v>
      </c>
      <c r="B34" s="471" t="s">
        <v>305</v>
      </c>
      <c r="C34" s="472"/>
      <c r="D34" s="33"/>
      <c r="E34" s="34">
        <v>32.9</v>
      </c>
      <c r="F34" s="34">
        <v>34.1</v>
      </c>
      <c r="G34" s="34">
        <v>34.1</v>
      </c>
      <c r="H34" s="329">
        <v>36.15</v>
      </c>
      <c r="I34" s="34">
        <v>36.15</v>
      </c>
      <c r="J34" s="34">
        <f>ROUND((J32/172.5)/6*30,2)</f>
        <v>40.1</v>
      </c>
      <c r="L34" s="170"/>
      <c r="M34" s="170"/>
      <c r="N34" s="170"/>
    </row>
    <row r="35" spans="1:14" ht="42" customHeight="1" x14ac:dyDescent="0.25">
      <c r="A35" s="32" t="s">
        <v>3</v>
      </c>
      <c r="B35" s="471" t="s">
        <v>308</v>
      </c>
      <c r="C35" s="472"/>
      <c r="D35" s="33"/>
      <c r="E35" s="34">
        <v>179.63499999999999</v>
      </c>
      <c r="F35" s="34">
        <v>186.185</v>
      </c>
      <c r="G35" s="34">
        <v>186.185</v>
      </c>
      <c r="H35" s="329">
        <v>197.38</v>
      </c>
      <c r="I35" s="34">
        <v>197.38</v>
      </c>
      <c r="J35" s="34">
        <f>ROUND(((J32+J33)/172.5)*30*7*0.2,2)/2</f>
        <v>218.94499999999999</v>
      </c>
      <c r="L35" s="170"/>
      <c r="M35" s="170"/>
    </row>
    <row r="36" spans="1:14" ht="56.25" customHeight="1" x14ac:dyDescent="0.25">
      <c r="A36" s="32" t="s">
        <v>4</v>
      </c>
      <c r="B36" s="471" t="s">
        <v>309</v>
      </c>
      <c r="C36" s="472"/>
      <c r="D36" s="33"/>
      <c r="E36" s="34">
        <v>230.96</v>
      </c>
      <c r="F36" s="34">
        <v>239.38499999999999</v>
      </c>
      <c r="G36" s="34">
        <v>239.38499999999999</v>
      </c>
      <c r="H36" s="329">
        <v>253.77500000000001</v>
      </c>
      <c r="I36" s="34">
        <v>253.77500000000001</v>
      </c>
      <c r="J36" s="34">
        <f>ROUND(((J32+J33)/172.5)*((30*7)/52.5*7.5)*1.5*1.2,2)/2</f>
        <v>281.505</v>
      </c>
    </row>
    <row r="37" spans="1:14" ht="13" x14ac:dyDescent="0.25">
      <c r="A37" s="32" t="s">
        <v>5</v>
      </c>
      <c r="B37" s="471" t="s">
        <v>50</v>
      </c>
      <c r="C37" s="472"/>
      <c r="D37" s="33"/>
      <c r="E37" s="34">
        <v>73.930000000000007</v>
      </c>
      <c r="F37" s="34">
        <v>76.63</v>
      </c>
      <c r="G37" s="34">
        <v>76.63</v>
      </c>
      <c r="H37" s="329">
        <v>81.23</v>
      </c>
      <c r="I37" s="34">
        <v>81.23</v>
      </c>
      <c r="J37" s="34">
        <f>ROUND((J34+J35+J36)*16.67%,2)</f>
        <v>90.11</v>
      </c>
      <c r="K37" s="170">
        <f>ROUND((J34)*16.67%,2)</f>
        <v>6.68</v>
      </c>
      <c r="M37" s="9"/>
    </row>
    <row r="38" spans="1:14" ht="13" x14ac:dyDescent="0.25">
      <c r="A38" s="32" t="s">
        <v>6</v>
      </c>
      <c r="B38" s="471" t="s">
        <v>217</v>
      </c>
      <c r="C38" s="472"/>
      <c r="D38" s="33"/>
      <c r="E38" s="34">
        <v>256.62</v>
      </c>
      <c r="F38" s="34">
        <v>265.98</v>
      </c>
      <c r="G38" s="34">
        <v>265.98</v>
      </c>
      <c r="H38" s="329">
        <v>281.97000000000003</v>
      </c>
      <c r="I38" s="34">
        <v>281.97000000000003</v>
      </c>
      <c r="J38" s="34">
        <f>ROUND((J32+J33)/172.5*5*6,2)</f>
        <v>312.77999999999997</v>
      </c>
      <c r="M38" s="9"/>
    </row>
    <row r="39" spans="1:14" ht="13" x14ac:dyDescent="0.25">
      <c r="A39" s="475" t="s">
        <v>157</v>
      </c>
      <c r="B39" s="476"/>
      <c r="C39" s="476"/>
      <c r="D39" s="477"/>
      <c r="E39" s="35">
        <v>2249.62</v>
      </c>
      <c r="F39" s="31">
        <v>2331.67</v>
      </c>
      <c r="G39" s="35">
        <v>2331.67</v>
      </c>
      <c r="H39" s="35">
        <v>2471.83</v>
      </c>
      <c r="I39" s="35">
        <f>ROUND(SUM(I32:I38),2)</f>
        <v>2471.83</v>
      </c>
      <c r="J39" s="35">
        <f>ROUND(SUM(J32:J38),2)</f>
        <v>2741.93</v>
      </c>
      <c r="K39" s="35">
        <f>ROUND(SUM(J32:J38),2)-J34-K37</f>
        <v>2695.15</v>
      </c>
      <c r="M39" s="9"/>
    </row>
    <row r="40" spans="1:14" x14ac:dyDescent="0.25">
      <c r="M40" s="9"/>
    </row>
    <row r="41" spans="1:14" ht="13" x14ac:dyDescent="0.25">
      <c r="A41" s="478" t="s">
        <v>68</v>
      </c>
      <c r="B41" s="479"/>
      <c r="C41" s="479"/>
      <c r="D41" s="479"/>
      <c r="E41" s="479"/>
      <c r="F41" s="479"/>
      <c r="G41" s="479"/>
      <c r="H41" s="479"/>
      <c r="I41" s="479"/>
      <c r="J41" s="480"/>
      <c r="M41" s="9"/>
    </row>
    <row r="42" spans="1:14" ht="13" x14ac:dyDescent="0.25">
      <c r="A42" s="478" t="s">
        <v>69</v>
      </c>
      <c r="B42" s="479"/>
      <c r="C42" s="480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ht="13" x14ac:dyDescent="0.25">
      <c r="A43" s="32" t="s">
        <v>0</v>
      </c>
      <c r="B43" s="471" t="s">
        <v>70</v>
      </c>
      <c r="C43" s="472"/>
      <c r="D43" s="36">
        <f>'Encargos Sociais'!C5</f>
        <v>8.3299999999999999E-2</v>
      </c>
      <c r="E43" s="34">
        <v>184.2</v>
      </c>
      <c r="F43" s="34">
        <v>190.91</v>
      </c>
      <c r="G43" s="34">
        <v>190.91</v>
      </c>
      <c r="H43" s="329">
        <v>202.39</v>
      </c>
      <c r="I43" s="34">
        <v>202.39</v>
      </c>
      <c r="J43" s="34">
        <f>ROUND(D43*$K$39,2)</f>
        <v>224.51</v>
      </c>
    </row>
    <row r="44" spans="1:14" ht="13" x14ac:dyDescent="0.25">
      <c r="A44" s="32" t="s">
        <v>1</v>
      </c>
      <c r="B44" s="471" t="s">
        <v>49</v>
      </c>
      <c r="C44" s="472"/>
      <c r="D44" s="36">
        <f>'Encargos Sociais'!C11</f>
        <v>0.121</v>
      </c>
      <c r="E44" s="34">
        <v>267.56</v>
      </c>
      <c r="F44" s="34">
        <v>277.32</v>
      </c>
      <c r="G44" s="34">
        <v>277.32</v>
      </c>
      <c r="H44" s="329">
        <v>293.99</v>
      </c>
      <c r="I44" s="34">
        <v>293.99</v>
      </c>
      <c r="J44" s="34">
        <f>ROUND(D44*$K$39,2)</f>
        <v>326.11</v>
      </c>
      <c r="M44" s="9"/>
    </row>
    <row r="45" spans="1:14" ht="12.75" customHeight="1" x14ac:dyDescent="0.25">
      <c r="A45" s="475" t="s">
        <v>156</v>
      </c>
      <c r="B45" s="476"/>
      <c r="C45" s="477"/>
      <c r="D45" s="37">
        <f>SUM(D43:D44)</f>
        <v>0.20429999999999998</v>
      </c>
      <c r="E45" s="35">
        <v>451.76</v>
      </c>
      <c r="F45" s="35">
        <v>468.23</v>
      </c>
      <c r="G45" s="35">
        <v>468.23</v>
      </c>
      <c r="H45" s="35">
        <v>496.38</v>
      </c>
      <c r="I45" s="35">
        <f>ROUND(SUM(I43:I44),2)</f>
        <v>496.38</v>
      </c>
      <c r="J45" s="35">
        <f>ROUND(SUM(J43:J44),2)</f>
        <v>550.62</v>
      </c>
      <c r="M45" s="9"/>
    </row>
    <row r="46" spans="1:14" x14ac:dyDescent="0.25">
      <c r="M46" s="9"/>
    </row>
    <row r="47" spans="1:14" ht="12.75" customHeight="1" x14ac:dyDescent="0.25">
      <c r="A47" s="478" t="s">
        <v>71</v>
      </c>
      <c r="B47" s="479"/>
      <c r="C47" s="480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ht="13" x14ac:dyDescent="0.25">
      <c r="A48" s="32" t="s">
        <v>0</v>
      </c>
      <c r="B48" s="489" t="s">
        <v>16</v>
      </c>
      <c r="C48" s="490"/>
      <c r="D48" s="36">
        <f>'Encargos Sociais'!C16</f>
        <v>0.2</v>
      </c>
      <c r="E48" s="34">
        <v>442.25</v>
      </c>
      <c r="F48" s="34">
        <v>458.38</v>
      </c>
      <c r="G48" s="34">
        <v>458.38</v>
      </c>
      <c r="H48" s="329">
        <v>485.93</v>
      </c>
      <c r="I48" s="34">
        <v>485.93</v>
      </c>
      <c r="J48" s="34">
        <f t="shared" ref="J48:J55" si="0">ROUND(D48*($K$39),2)</f>
        <v>539.03</v>
      </c>
      <c r="M48" s="9"/>
    </row>
    <row r="49" spans="1:13" ht="13" x14ac:dyDescent="0.25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55.28</v>
      </c>
      <c r="F49" s="34">
        <v>57.3</v>
      </c>
      <c r="G49" s="34">
        <v>57.3</v>
      </c>
      <c r="H49" s="329">
        <v>60.74</v>
      </c>
      <c r="I49" s="34">
        <v>60.74</v>
      </c>
      <c r="J49" s="34">
        <f t="shared" si="0"/>
        <v>67.38</v>
      </c>
    </row>
    <row r="50" spans="1:13" ht="13" x14ac:dyDescent="0.25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90.22</v>
      </c>
      <c r="F50" s="34">
        <v>93.51</v>
      </c>
      <c r="G50" s="34">
        <v>93.51</v>
      </c>
      <c r="H50" s="329">
        <v>99.13</v>
      </c>
      <c r="I50" s="34">
        <v>99.13</v>
      </c>
      <c r="J50" s="34">
        <f t="shared" si="0"/>
        <v>109.96</v>
      </c>
    </row>
    <row r="51" spans="1:13" ht="13" x14ac:dyDescent="0.25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33.17</v>
      </c>
      <c r="F51" s="34">
        <v>34.380000000000003</v>
      </c>
      <c r="G51" s="34">
        <v>34.380000000000003</v>
      </c>
      <c r="H51" s="329">
        <v>36.44</v>
      </c>
      <c r="I51" s="34">
        <v>36.44</v>
      </c>
      <c r="J51" s="34">
        <f t="shared" si="0"/>
        <v>40.43</v>
      </c>
    </row>
    <row r="52" spans="1:13" ht="13" x14ac:dyDescent="0.25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22.11</v>
      </c>
      <c r="F52" s="34">
        <v>22.92</v>
      </c>
      <c r="G52" s="34">
        <v>22.92</v>
      </c>
      <c r="H52" s="329">
        <v>24.3</v>
      </c>
      <c r="I52" s="34">
        <v>24.3</v>
      </c>
      <c r="J52" s="34">
        <f t="shared" si="0"/>
        <v>26.95</v>
      </c>
    </row>
    <row r="53" spans="1:13" ht="13" x14ac:dyDescent="0.25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13.27</v>
      </c>
      <c r="F53" s="34">
        <v>13.75</v>
      </c>
      <c r="G53" s="34">
        <v>13.75</v>
      </c>
      <c r="H53" s="329">
        <v>14.58</v>
      </c>
      <c r="I53" s="34">
        <v>14.58</v>
      </c>
      <c r="J53" s="34">
        <f t="shared" si="0"/>
        <v>16.170000000000002</v>
      </c>
    </row>
    <row r="54" spans="1:13" ht="13" x14ac:dyDescent="0.25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4.42</v>
      </c>
      <c r="F54" s="34">
        <v>4.58</v>
      </c>
      <c r="G54" s="34">
        <v>4.58</v>
      </c>
      <c r="H54" s="329">
        <v>4.8600000000000003</v>
      </c>
      <c r="I54" s="34">
        <v>4.8600000000000003</v>
      </c>
      <c r="J54" s="34">
        <f t="shared" si="0"/>
        <v>5.39</v>
      </c>
    </row>
    <row r="55" spans="1:13" ht="13" x14ac:dyDescent="0.25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176.9</v>
      </c>
      <c r="F55" s="34">
        <v>183.35</v>
      </c>
      <c r="G55" s="34">
        <v>183.35</v>
      </c>
      <c r="H55" s="329">
        <v>194.37</v>
      </c>
      <c r="I55" s="34">
        <v>194.37</v>
      </c>
      <c r="J55" s="34">
        <f t="shared" si="0"/>
        <v>215.61</v>
      </c>
    </row>
    <row r="56" spans="1:13" ht="12.75" customHeight="1" x14ac:dyDescent="0.25">
      <c r="A56" s="475" t="s">
        <v>156</v>
      </c>
      <c r="B56" s="476"/>
      <c r="C56" s="477"/>
      <c r="D56" s="37">
        <f>SUM(D48:D55)</f>
        <v>0.37880000000000008</v>
      </c>
      <c r="E56" s="35">
        <v>837.62</v>
      </c>
      <c r="F56" s="35">
        <v>868.17</v>
      </c>
      <c r="G56" s="35">
        <v>868.17</v>
      </c>
      <c r="H56" s="35">
        <v>920.35</v>
      </c>
      <c r="I56" s="35">
        <f>ROUND(SUM(I48:I55),2)</f>
        <v>920.35</v>
      </c>
      <c r="J56" s="35">
        <f>ROUND(SUM(J48:J55),2)</f>
        <v>1020.92</v>
      </c>
      <c r="K56" s="210"/>
      <c r="L56" s="20"/>
    </row>
    <row r="58" spans="1:13" ht="12.75" customHeight="1" x14ac:dyDescent="0.25">
      <c r="A58" s="478" t="s">
        <v>75</v>
      </c>
      <c r="B58" s="479"/>
      <c r="C58" s="480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5">
      <c r="A59" s="32" t="s">
        <v>0</v>
      </c>
      <c r="B59" s="471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30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72"/>
      <c r="D59" s="38" t="s">
        <v>76</v>
      </c>
      <c r="E59" s="34">
        <v>174.5</v>
      </c>
      <c r="F59" s="34">
        <v>171.45</v>
      </c>
      <c r="G59" s="34">
        <v>195.45</v>
      </c>
      <c r="H59" s="329">
        <v>190.25</v>
      </c>
      <c r="I59" s="34">
        <v>196.25</v>
      </c>
      <c r="J59" s="34">
        <f>IF(M17&lt;=0,0,IF(M17&gt;0,M17))</f>
        <v>186.23</v>
      </c>
      <c r="K59" s="39"/>
      <c r="L59" s="40"/>
    </row>
    <row r="60" spans="1:13" ht="54" customHeight="1" x14ac:dyDescent="0.25">
      <c r="A60" s="32" t="s">
        <v>1</v>
      </c>
      <c r="B60" s="471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30 Dias Trabalhados) - (20% do desconto legal) ]</v>
      </c>
      <c r="C60" s="472"/>
      <c r="D60" s="38" t="s">
        <v>76</v>
      </c>
      <c r="E60" s="34">
        <v>0</v>
      </c>
      <c r="F60" s="329">
        <v>0</v>
      </c>
      <c r="G60" s="329">
        <v>0</v>
      </c>
      <c r="H60" s="329">
        <v>0</v>
      </c>
      <c r="I60" s="329">
        <v>0</v>
      </c>
      <c r="J60" s="344">
        <v>0</v>
      </c>
      <c r="K60" s="39"/>
      <c r="L60" s="40"/>
      <c r="M60" s="41"/>
    </row>
    <row r="61" spans="1:13" ht="13" x14ac:dyDescent="0.25">
      <c r="A61" s="32" t="s">
        <v>2</v>
      </c>
      <c r="B61" s="471" t="s">
        <v>314</v>
      </c>
      <c r="C61" s="472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5">
      <c r="A62" s="475" t="s">
        <v>156</v>
      </c>
      <c r="B62" s="476"/>
      <c r="C62" s="477"/>
      <c r="D62" s="42"/>
      <c r="E62" s="35">
        <v>177</v>
      </c>
      <c r="F62" s="35">
        <v>173.95</v>
      </c>
      <c r="G62" s="35">
        <v>197.95</v>
      </c>
      <c r="H62" s="35">
        <v>192.75</v>
      </c>
      <c r="I62" s="35">
        <f>ROUND(SUM(I59:I61),2)</f>
        <v>198.75</v>
      </c>
      <c r="J62" s="35">
        <f>ROUND(SUM(J59:J61),2)</f>
        <v>188.73</v>
      </c>
    </row>
    <row r="64" spans="1:13" ht="12.75" customHeight="1" x14ac:dyDescent="0.25">
      <c r="A64" s="486" t="s">
        <v>77</v>
      </c>
      <c r="B64" s="486"/>
      <c r="C64" s="486"/>
      <c r="D64" s="486"/>
      <c r="E64" s="486"/>
      <c r="F64" s="486"/>
      <c r="G64" s="486"/>
      <c r="H64" s="486"/>
      <c r="I64" s="486"/>
      <c r="J64" s="486"/>
    </row>
    <row r="65" spans="1:10" ht="12.75" customHeight="1" x14ac:dyDescent="0.25">
      <c r="A65" s="486" t="s">
        <v>78</v>
      </c>
      <c r="B65" s="486"/>
      <c r="C65" s="486"/>
      <c r="D65" s="486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ht="13" x14ac:dyDescent="0.25">
      <c r="A66" s="135" t="s">
        <v>79</v>
      </c>
      <c r="B66" s="481" t="s">
        <v>80</v>
      </c>
      <c r="C66" s="481"/>
      <c r="D66" s="481"/>
      <c r="E66" s="230">
        <v>451.76</v>
      </c>
      <c r="F66" s="25">
        <v>468.23</v>
      </c>
      <c r="G66" s="25">
        <v>468.23</v>
      </c>
      <c r="H66" s="323">
        <v>496.38</v>
      </c>
      <c r="I66" s="25">
        <v>496.38</v>
      </c>
      <c r="J66" s="25">
        <f>J45</f>
        <v>550.62</v>
      </c>
    </row>
    <row r="67" spans="1:10" ht="13" x14ac:dyDescent="0.25">
      <c r="A67" s="135" t="s">
        <v>81</v>
      </c>
      <c r="B67" s="481" t="s">
        <v>82</v>
      </c>
      <c r="C67" s="481"/>
      <c r="D67" s="481"/>
      <c r="E67" s="230">
        <v>837.62</v>
      </c>
      <c r="F67" s="25">
        <v>868.17</v>
      </c>
      <c r="G67" s="25">
        <v>868.17</v>
      </c>
      <c r="H67" s="323">
        <v>920.35</v>
      </c>
      <c r="I67" s="25">
        <v>920.35</v>
      </c>
      <c r="J67" s="25">
        <f>J56</f>
        <v>1020.92</v>
      </c>
    </row>
    <row r="68" spans="1:10" ht="13" x14ac:dyDescent="0.25">
      <c r="A68" s="135" t="s">
        <v>83</v>
      </c>
      <c r="B68" s="481" t="s">
        <v>25</v>
      </c>
      <c r="C68" s="481"/>
      <c r="D68" s="481"/>
      <c r="E68" s="230">
        <v>177</v>
      </c>
      <c r="F68" s="25">
        <v>173.95</v>
      </c>
      <c r="G68" s="25">
        <v>197.95</v>
      </c>
      <c r="H68" s="323">
        <v>192.75</v>
      </c>
      <c r="I68" s="25">
        <v>198.75</v>
      </c>
      <c r="J68" s="25">
        <f>J62</f>
        <v>188.73</v>
      </c>
    </row>
    <row r="69" spans="1:10" ht="12.75" customHeight="1" x14ac:dyDescent="0.25">
      <c r="A69" s="474" t="s">
        <v>156</v>
      </c>
      <c r="B69" s="474"/>
      <c r="C69" s="474"/>
      <c r="D69" s="474"/>
      <c r="E69" s="241">
        <v>1466.38</v>
      </c>
      <c r="F69" s="128">
        <v>1510.35</v>
      </c>
      <c r="G69" s="35">
        <v>1534.35</v>
      </c>
      <c r="H69" s="35">
        <v>1609.48</v>
      </c>
      <c r="I69" s="35">
        <f>ROUND(SUM(I66:I68),2)</f>
        <v>1615.48</v>
      </c>
      <c r="J69" s="35">
        <f>ROUND(SUM(J66:J68),2)</f>
        <v>1760.27</v>
      </c>
    </row>
    <row r="71" spans="1:10" ht="13" x14ac:dyDescent="0.25">
      <c r="A71" s="478" t="s">
        <v>84</v>
      </c>
      <c r="B71" s="479"/>
      <c r="C71" s="479"/>
      <c r="D71" s="479"/>
      <c r="E71" s="479"/>
      <c r="F71" s="479"/>
      <c r="G71" s="479"/>
      <c r="H71" s="479"/>
      <c r="I71" s="479"/>
      <c r="J71" s="480"/>
    </row>
    <row r="72" spans="1:10" ht="13" x14ac:dyDescent="0.25">
      <c r="A72" s="29">
        <v>3</v>
      </c>
      <c r="B72" s="478" t="s">
        <v>85</v>
      </c>
      <c r="C72" s="480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ht="13" x14ac:dyDescent="0.25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9.2899999999999991</v>
      </c>
      <c r="F73" s="34">
        <v>9.6300000000000008</v>
      </c>
      <c r="G73" s="34">
        <v>9.6300000000000008</v>
      </c>
      <c r="H73" s="329">
        <v>10.199999999999999</v>
      </c>
      <c r="I73" s="34">
        <v>10.199999999999999</v>
      </c>
      <c r="J73" s="34">
        <f t="shared" ref="J73:J78" si="1">ROUND(D73*$K$39,2)</f>
        <v>11.32</v>
      </c>
    </row>
    <row r="74" spans="1:10" ht="13" x14ac:dyDescent="0.25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0.66</v>
      </c>
      <c r="F74" s="34">
        <v>0.69</v>
      </c>
      <c r="G74" s="34">
        <v>0.69</v>
      </c>
      <c r="H74" s="329">
        <v>0.73</v>
      </c>
      <c r="I74" s="34">
        <v>0.73</v>
      </c>
      <c r="J74" s="34">
        <f t="shared" si="1"/>
        <v>0.81</v>
      </c>
    </row>
    <row r="75" spans="1:10" ht="13" x14ac:dyDescent="0.25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5.31</v>
      </c>
      <c r="F75" s="34">
        <v>5.5</v>
      </c>
      <c r="G75" s="34">
        <v>4.4000000000000004</v>
      </c>
      <c r="H75" s="329">
        <v>4.66</v>
      </c>
      <c r="I75" s="34">
        <v>4.66</v>
      </c>
      <c r="J75" s="34">
        <f t="shared" si="1"/>
        <v>5.17</v>
      </c>
    </row>
    <row r="76" spans="1:10" ht="13" x14ac:dyDescent="0.25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3.54</v>
      </c>
      <c r="F76" s="34">
        <v>3.67</v>
      </c>
      <c r="G76" s="34">
        <v>3.67</v>
      </c>
      <c r="H76" s="329">
        <v>3.89</v>
      </c>
      <c r="I76" s="34">
        <v>3.89</v>
      </c>
      <c r="J76" s="34">
        <f t="shared" si="1"/>
        <v>4.3099999999999996</v>
      </c>
    </row>
    <row r="77" spans="1:10" ht="25.5" customHeight="1" x14ac:dyDescent="0.25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1.33</v>
      </c>
      <c r="F77" s="34">
        <v>1.38</v>
      </c>
      <c r="G77" s="34">
        <v>1.38</v>
      </c>
      <c r="H77" s="329">
        <v>1.46</v>
      </c>
      <c r="I77" s="34">
        <v>1.46</v>
      </c>
      <c r="J77" s="34">
        <f t="shared" si="1"/>
        <v>1.62</v>
      </c>
    </row>
    <row r="78" spans="1:10" ht="13" x14ac:dyDescent="0.25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105.26</v>
      </c>
      <c r="F78" s="34">
        <v>109.09</v>
      </c>
      <c r="G78" s="34">
        <v>87.28</v>
      </c>
      <c r="H78" s="329">
        <v>92.52</v>
      </c>
      <c r="I78" s="34">
        <v>92.52</v>
      </c>
      <c r="J78" s="34">
        <f t="shared" si="1"/>
        <v>102.63</v>
      </c>
    </row>
    <row r="79" spans="1:10" ht="12.75" customHeight="1" x14ac:dyDescent="0.25">
      <c r="A79" s="475" t="s">
        <v>156</v>
      </c>
      <c r="B79" s="476"/>
      <c r="C79" s="477"/>
      <c r="D79" s="37">
        <f>SUM(D73:D78)</f>
        <v>4.6699999999999992E-2</v>
      </c>
      <c r="E79" s="31">
        <v>125.39</v>
      </c>
      <c r="F79" s="35">
        <v>129.96</v>
      </c>
      <c r="G79" s="35">
        <v>107.05</v>
      </c>
      <c r="H79" s="35">
        <v>113.46</v>
      </c>
      <c r="I79" s="35">
        <f>ROUND(SUM(I73:I78),2)</f>
        <v>113.46</v>
      </c>
      <c r="J79" s="35">
        <f>ROUND(SUM(J73:J78),2)</f>
        <v>125.86</v>
      </c>
    </row>
    <row r="81" spans="1:10" ht="13" x14ac:dyDescent="0.25">
      <c r="A81" s="478" t="s">
        <v>92</v>
      </c>
      <c r="B81" s="479"/>
      <c r="C81" s="479"/>
      <c r="D81" s="479"/>
      <c r="E81" s="479"/>
      <c r="F81" s="479"/>
      <c r="G81" s="479"/>
      <c r="H81" s="479"/>
      <c r="I81" s="479"/>
      <c r="J81" s="480"/>
    </row>
    <row r="82" spans="1:10" ht="13" x14ac:dyDescent="0.25">
      <c r="A82" s="46"/>
      <c r="B82" s="478" t="s">
        <v>93</v>
      </c>
      <c r="C82" s="480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ht="13" x14ac:dyDescent="0.25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22.33</v>
      </c>
      <c r="F83" s="34">
        <v>23.15</v>
      </c>
      <c r="G83" s="34">
        <v>23.15</v>
      </c>
      <c r="H83" s="329">
        <v>24.54</v>
      </c>
      <c r="I83" s="34">
        <v>24.54</v>
      </c>
      <c r="J83" s="34">
        <f t="shared" ref="J83:J88" si="2">ROUND(D83*$K$39,2)</f>
        <v>27.22</v>
      </c>
    </row>
    <row r="84" spans="1:10" ht="13" x14ac:dyDescent="0.25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12.38</v>
      </c>
      <c r="F84" s="34">
        <v>12.83</v>
      </c>
      <c r="G84" s="34">
        <v>12.83</v>
      </c>
      <c r="H84" s="329">
        <v>13.61</v>
      </c>
      <c r="I84" s="34">
        <v>13.61</v>
      </c>
      <c r="J84" s="34">
        <f t="shared" si="2"/>
        <v>15.09</v>
      </c>
    </row>
    <row r="85" spans="1:10" ht="13" x14ac:dyDescent="0.25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30.74</v>
      </c>
      <c r="F85" s="34">
        <v>31.86</v>
      </c>
      <c r="G85" s="34">
        <v>31.86</v>
      </c>
      <c r="H85" s="329">
        <v>33.770000000000003</v>
      </c>
      <c r="I85" s="34">
        <v>33.770000000000003</v>
      </c>
      <c r="J85" s="34">
        <f t="shared" si="2"/>
        <v>37.46</v>
      </c>
    </row>
    <row r="86" spans="1:10" ht="13" x14ac:dyDescent="0.25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3.76</v>
      </c>
      <c r="F86" s="34">
        <v>3.9</v>
      </c>
      <c r="G86" s="34">
        <v>3.9</v>
      </c>
      <c r="H86" s="329">
        <v>4.13</v>
      </c>
      <c r="I86" s="34">
        <v>4.13</v>
      </c>
      <c r="J86" s="34">
        <f t="shared" si="2"/>
        <v>4.58</v>
      </c>
    </row>
    <row r="87" spans="1:10" ht="13" x14ac:dyDescent="0.25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4.6399999999999997</v>
      </c>
      <c r="F87" s="34">
        <v>4.8099999999999996</v>
      </c>
      <c r="G87" s="34">
        <v>4.8099999999999996</v>
      </c>
      <c r="H87" s="329">
        <v>5.0999999999999996</v>
      </c>
      <c r="I87" s="34">
        <v>5.0999999999999996</v>
      </c>
      <c r="J87" s="34">
        <f t="shared" si="2"/>
        <v>5.66</v>
      </c>
    </row>
    <row r="88" spans="1:10" ht="13" x14ac:dyDescent="0.25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1.55</v>
      </c>
      <c r="F88" s="34">
        <v>1.6</v>
      </c>
      <c r="G88" s="34">
        <v>1.6</v>
      </c>
      <c r="H88" s="329">
        <v>1.7</v>
      </c>
      <c r="I88" s="34">
        <v>1.7</v>
      </c>
      <c r="J88" s="34">
        <f t="shared" si="2"/>
        <v>1.89</v>
      </c>
    </row>
    <row r="89" spans="1:10" ht="12.75" customHeight="1" x14ac:dyDescent="0.25">
      <c r="A89" s="475" t="s">
        <v>156</v>
      </c>
      <c r="B89" s="476"/>
      <c r="C89" s="477"/>
      <c r="D89" s="37">
        <f>SUM(D83:D88)</f>
        <v>3.4099999999999991E-2</v>
      </c>
      <c r="E89" s="35">
        <v>75.400000000000006</v>
      </c>
      <c r="F89" s="35">
        <v>78.150000000000006</v>
      </c>
      <c r="G89" s="35">
        <v>78.150000000000006</v>
      </c>
      <c r="H89" s="35">
        <v>82.85</v>
      </c>
      <c r="I89" s="35">
        <f>ROUND(SUM(I83:I88),2)</f>
        <v>82.85</v>
      </c>
      <c r="J89" s="35">
        <f>ROUND(SUM(J83:J88),2)</f>
        <v>91.9</v>
      </c>
    </row>
    <row r="90" spans="1:10" x14ac:dyDescent="0.25">
      <c r="E90" s="10"/>
      <c r="F90" s="10"/>
    </row>
    <row r="91" spans="1:10" ht="12.75" customHeight="1" x14ac:dyDescent="0.25">
      <c r="A91" s="478" t="s">
        <v>93</v>
      </c>
      <c r="B91" s="479"/>
      <c r="C91" s="479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5">
      <c r="A92" s="32" t="s">
        <v>6</v>
      </c>
      <c r="B92" s="471" t="s">
        <v>155</v>
      </c>
      <c r="C92" s="487"/>
      <c r="D92" s="129">
        <f>((D56)*(D45+D89))</f>
        <v>9.0305920000000012E-2</v>
      </c>
      <c r="E92" s="34">
        <v>199.69</v>
      </c>
      <c r="F92" s="34">
        <v>206.97</v>
      </c>
      <c r="G92" s="34">
        <v>206.97</v>
      </c>
      <c r="H92" s="329">
        <v>219.41</v>
      </c>
      <c r="I92" s="34">
        <v>219.41</v>
      </c>
      <c r="J92" s="34">
        <f>ROUND(D92*$K$39,2)</f>
        <v>243.39</v>
      </c>
    </row>
    <row r="93" spans="1:10" ht="12.75" customHeight="1" x14ac:dyDescent="0.25">
      <c r="A93" s="475" t="s">
        <v>156</v>
      </c>
      <c r="B93" s="476"/>
      <c r="C93" s="476"/>
      <c r="D93" s="130">
        <f>D92</f>
        <v>9.0305920000000012E-2</v>
      </c>
      <c r="E93" s="128">
        <v>199.69</v>
      </c>
      <c r="F93" s="128">
        <v>206.97</v>
      </c>
      <c r="G93" s="128">
        <v>206.97</v>
      </c>
      <c r="H93" s="128">
        <v>219.41</v>
      </c>
      <c r="I93" s="128">
        <f>ROUND(SUM(I92:I92),2)</f>
        <v>219.41</v>
      </c>
      <c r="J93" s="128">
        <f>ROUND(SUM(J92:J92),2)</f>
        <v>243.39</v>
      </c>
    </row>
    <row r="94" spans="1:10" x14ac:dyDescent="0.25">
      <c r="E94" s="10"/>
      <c r="F94" s="10"/>
    </row>
    <row r="95" spans="1:10" ht="12.75" customHeight="1" x14ac:dyDescent="0.25">
      <c r="A95" s="478" t="s">
        <v>142</v>
      </c>
      <c r="B95" s="479"/>
      <c r="C95" s="479"/>
      <c r="D95" s="480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ht="13" x14ac:dyDescent="0.25">
      <c r="A96" s="32" t="s">
        <v>0</v>
      </c>
      <c r="B96" s="471" t="s">
        <v>253</v>
      </c>
      <c r="C96" s="487"/>
      <c r="D96" s="472"/>
      <c r="E96" s="34">
        <v>74.03</v>
      </c>
      <c r="F96" s="34">
        <v>76.73</v>
      </c>
      <c r="G96" s="34">
        <v>76.73</v>
      </c>
      <c r="H96" s="329">
        <v>81.34</v>
      </c>
      <c r="I96" s="34">
        <f>ROUND((I21/220)*M16*1.5*0.25,2)</f>
        <v>81.34</v>
      </c>
      <c r="J96" s="34">
        <f>ROUND((J21/220)*M16*1.5*0.25,2)</f>
        <v>90.23</v>
      </c>
    </row>
    <row r="97" spans="1:16" ht="12.75" customHeight="1" x14ac:dyDescent="0.25">
      <c r="A97" s="475" t="s">
        <v>156</v>
      </c>
      <c r="B97" s="476"/>
      <c r="C97" s="476"/>
      <c r="D97" s="477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81.34</v>
      </c>
      <c r="J97" s="35">
        <f>ROUND(SUM(J96:J96),2)</f>
        <v>90.23</v>
      </c>
    </row>
    <row r="98" spans="1:16" ht="33" customHeight="1" x14ac:dyDescent="0.25">
      <c r="A98" s="488" t="s">
        <v>143</v>
      </c>
      <c r="B98" s="488"/>
      <c r="C98" s="488"/>
      <c r="D98" s="488"/>
      <c r="E98" s="488"/>
      <c r="F98" s="488"/>
      <c r="G98" s="488"/>
      <c r="H98" s="488"/>
      <c r="I98" s="488"/>
      <c r="J98" s="488"/>
    </row>
    <row r="100" spans="1:16" ht="12.75" customHeight="1" x14ac:dyDescent="0.25">
      <c r="A100" s="486" t="s">
        <v>99</v>
      </c>
      <c r="B100" s="486"/>
      <c r="C100" s="486"/>
      <c r="D100" s="486"/>
      <c r="E100" s="486"/>
      <c r="F100" s="486"/>
      <c r="G100" s="486"/>
      <c r="H100" s="486"/>
      <c r="I100" s="486"/>
      <c r="J100" s="486"/>
    </row>
    <row r="101" spans="1:16" ht="12.75" customHeight="1" x14ac:dyDescent="0.25">
      <c r="A101" s="486" t="s">
        <v>100</v>
      </c>
      <c r="B101" s="486"/>
      <c r="C101" s="486"/>
      <c r="D101" s="486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ht="13" x14ac:dyDescent="0.25">
      <c r="A102" s="48" t="s">
        <v>26</v>
      </c>
      <c r="B102" s="481" t="s">
        <v>95</v>
      </c>
      <c r="C102" s="481"/>
      <c r="D102" s="481"/>
      <c r="E102" s="25">
        <v>275.08999999999997</v>
      </c>
      <c r="F102" s="25">
        <v>285.12</v>
      </c>
      <c r="G102" s="25">
        <v>285.12</v>
      </c>
      <c r="H102" s="323">
        <v>302.26</v>
      </c>
      <c r="I102" s="25">
        <v>302.26</v>
      </c>
      <c r="J102" s="25">
        <f>ROUND(J89+J93,2)</f>
        <v>335.29</v>
      </c>
    </row>
    <row r="103" spans="1:16" ht="13" x14ac:dyDescent="0.25">
      <c r="A103" s="48" t="s">
        <v>27</v>
      </c>
      <c r="B103" s="481" t="s">
        <v>101</v>
      </c>
      <c r="C103" s="481"/>
      <c r="D103" s="481"/>
      <c r="E103" s="25">
        <v>74.03</v>
      </c>
      <c r="F103" s="25">
        <v>76.73</v>
      </c>
      <c r="G103" s="25">
        <v>76.73</v>
      </c>
      <c r="H103" s="323">
        <v>81.34</v>
      </c>
      <c r="I103" s="25">
        <f>I97</f>
        <v>81.34</v>
      </c>
      <c r="J103" s="25">
        <f>J97</f>
        <v>90.23</v>
      </c>
    </row>
    <row r="104" spans="1:16" s="137" customFormat="1" ht="12.75" customHeight="1" x14ac:dyDescent="0.25">
      <c r="A104" s="474" t="s">
        <v>102</v>
      </c>
      <c r="B104" s="474"/>
      <c r="C104" s="474"/>
      <c r="D104" s="474"/>
      <c r="E104" s="35">
        <v>349.12</v>
      </c>
      <c r="F104" s="35">
        <v>361.85</v>
      </c>
      <c r="G104" s="35">
        <v>361.85</v>
      </c>
      <c r="H104" s="35">
        <v>383.6</v>
      </c>
      <c r="I104" s="35">
        <f>ROUND(SUM(I102:I103),2)</f>
        <v>383.6</v>
      </c>
      <c r="J104" s="35">
        <f>ROUND(SUM(J102:J103),2)</f>
        <v>425.52</v>
      </c>
      <c r="K104" s="9"/>
      <c r="L104" s="9"/>
      <c r="N104" s="9"/>
      <c r="O104" s="9"/>
      <c r="P104" s="9"/>
    </row>
    <row r="106" spans="1:16" s="137" customFormat="1" ht="13" x14ac:dyDescent="0.25">
      <c r="A106" s="478" t="s">
        <v>103</v>
      </c>
      <c r="B106" s="479"/>
      <c r="C106" s="479"/>
      <c r="D106" s="479"/>
      <c r="E106" s="479"/>
      <c r="F106" s="479"/>
      <c r="G106" s="479"/>
      <c r="H106" s="479"/>
      <c r="I106" s="479"/>
      <c r="J106" s="480"/>
      <c r="K106" s="9"/>
      <c r="L106" s="9"/>
      <c r="N106" s="9"/>
      <c r="O106" s="9"/>
      <c r="P106" s="9"/>
    </row>
    <row r="107" spans="1:16" s="137" customFormat="1" ht="13" x14ac:dyDescent="0.25">
      <c r="A107" s="29">
        <v>5</v>
      </c>
      <c r="B107" s="478" t="s">
        <v>104</v>
      </c>
      <c r="C107" s="480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ht="13" x14ac:dyDescent="0.25">
      <c r="A108" s="32" t="s">
        <v>0</v>
      </c>
      <c r="B108" s="471" t="s">
        <v>129</v>
      </c>
      <c r="C108" s="472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18.72</v>
      </c>
      <c r="K108" s="9"/>
      <c r="L108" s="9"/>
      <c r="N108" s="9"/>
      <c r="O108" s="9"/>
      <c r="P108" s="9"/>
    </row>
    <row r="109" spans="1:16" s="137" customFormat="1" ht="13" x14ac:dyDescent="0.25">
      <c r="A109" s="32" t="s">
        <v>1</v>
      </c>
      <c r="B109" s="471" t="s">
        <v>190</v>
      </c>
      <c r="C109" s="472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329">
        <v>17.690000000000001</v>
      </c>
      <c r="I109" s="34">
        <v>17.690000000000001</v>
      </c>
      <c r="J109" s="347">
        <f>'Uniformes e Equiptos'!H41</f>
        <v>19.46</v>
      </c>
      <c r="K109" s="49"/>
      <c r="L109" s="9"/>
      <c r="N109" s="9"/>
      <c r="O109" s="9"/>
      <c r="P109" s="9"/>
    </row>
    <row r="110" spans="1:16" s="137" customFormat="1" ht="13" x14ac:dyDescent="0.25">
      <c r="A110" s="32" t="s">
        <v>2</v>
      </c>
      <c r="B110" s="471" t="s">
        <v>187</v>
      </c>
      <c r="C110" s="472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5">
      <c r="A111" s="475" t="s">
        <v>156</v>
      </c>
      <c r="B111" s="476"/>
      <c r="C111" s="477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38.18</v>
      </c>
      <c r="K111" s="9"/>
      <c r="L111" s="9"/>
      <c r="N111" s="9"/>
      <c r="O111" s="9"/>
      <c r="P111" s="9"/>
    </row>
    <row r="113" spans="1:16" s="137" customFormat="1" ht="13" x14ac:dyDescent="0.25">
      <c r="A113" s="478" t="s">
        <v>105</v>
      </c>
      <c r="B113" s="479"/>
      <c r="C113" s="479"/>
      <c r="D113" s="479"/>
      <c r="E113" s="479"/>
      <c r="F113" s="479"/>
      <c r="G113" s="479"/>
      <c r="H113" s="479"/>
      <c r="I113" s="479"/>
      <c r="J113" s="480"/>
      <c r="K113" s="9"/>
      <c r="L113" s="9"/>
      <c r="N113" s="9"/>
      <c r="O113" s="9"/>
      <c r="P113" s="9"/>
    </row>
    <row r="114" spans="1:16" s="137" customFormat="1" ht="13" x14ac:dyDescent="0.25">
      <c r="A114" s="29">
        <v>6</v>
      </c>
      <c r="B114" s="478" t="s">
        <v>106</v>
      </c>
      <c r="C114" s="480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5">
      <c r="A115" s="32" t="s">
        <v>0</v>
      </c>
      <c r="B115" s="471" t="s">
        <v>301</v>
      </c>
      <c r="C115" s="472"/>
      <c r="D115" s="51">
        <v>0.03</v>
      </c>
      <c r="E115" s="34">
        <v>126.76</v>
      </c>
      <c r="F115" s="34">
        <v>131.06</v>
      </c>
      <c r="G115" s="34">
        <v>131.09</v>
      </c>
      <c r="H115" s="329">
        <v>138.38999999999999</v>
      </c>
      <c r="I115" s="34">
        <v>138.57</v>
      </c>
      <c r="J115" s="34">
        <f>ROUND(J130*D115,2)</f>
        <v>152.75</v>
      </c>
      <c r="K115" s="132"/>
      <c r="L115" s="138"/>
      <c r="N115" s="9"/>
      <c r="O115" s="9"/>
      <c r="P115" s="9"/>
    </row>
    <row r="116" spans="1:16" s="137" customFormat="1" ht="13" x14ac:dyDescent="0.25">
      <c r="A116" s="32" t="s">
        <v>1</v>
      </c>
      <c r="B116" s="52" t="s">
        <v>12</v>
      </c>
      <c r="C116" s="53"/>
      <c r="D116" s="51">
        <v>1.0200000000000001E-2</v>
      </c>
      <c r="E116" s="34">
        <v>44.39</v>
      </c>
      <c r="F116" s="34">
        <v>45.9</v>
      </c>
      <c r="G116" s="34">
        <v>45.91</v>
      </c>
      <c r="H116" s="329">
        <v>48.46</v>
      </c>
      <c r="I116" s="34">
        <v>48.53</v>
      </c>
      <c r="J116" s="34">
        <f>ROUND((J130+J115)*D116,2)</f>
        <v>53.49</v>
      </c>
      <c r="K116" s="133"/>
      <c r="L116" s="139"/>
      <c r="N116" s="9"/>
      <c r="O116" s="9"/>
      <c r="P116" s="9"/>
    </row>
    <row r="117" spans="1:16" s="137" customFormat="1" ht="13" x14ac:dyDescent="0.25">
      <c r="A117" s="32" t="s">
        <v>2</v>
      </c>
      <c r="B117" s="483" t="s">
        <v>302</v>
      </c>
      <c r="C117" s="484"/>
      <c r="D117" s="54"/>
      <c r="E117" s="55"/>
      <c r="F117" s="55"/>
      <c r="G117" s="55"/>
      <c r="H117" s="330"/>
      <c r="I117" s="55"/>
      <c r="J117" s="55"/>
      <c r="K117" s="9"/>
      <c r="L117" s="9"/>
      <c r="N117" s="9"/>
      <c r="O117" s="9"/>
      <c r="P117" s="9"/>
    </row>
    <row r="118" spans="1:16" s="137" customFormat="1" ht="13" x14ac:dyDescent="0.25">
      <c r="A118" s="32" t="s">
        <v>107</v>
      </c>
      <c r="B118" s="471" t="s">
        <v>13</v>
      </c>
      <c r="C118" s="472"/>
      <c r="D118" s="51">
        <v>6.4999999999999997E-3</v>
      </c>
      <c r="E118" s="34">
        <v>30.45</v>
      </c>
      <c r="F118" s="34">
        <v>31.48</v>
      </c>
      <c r="G118" s="34">
        <v>31.49</v>
      </c>
      <c r="H118" s="329">
        <v>33.24</v>
      </c>
      <c r="I118" s="34">
        <v>33.29</v>
      </c>
      <c r="J118" s="34">
        <f>ROUND((($J$130+$J$115+$J$116)/(1-($D$118+$D$119+$D$120)))*D118,2)</f>
        <v>36.69</v>
      </c>
      <c r="K118" s="469"/>
      <c r="L118" s="470"/>
      <c r="N118" s="9"/>
      <c r="O118" s="9"/>
      <c r="P118" s="9"/>
    </row>
    <row r="119" spans="1:16" s="137" customFormat="1" ht="13" x14ac:dyDescent="0.25">
      <c r="A119" s="32" t="s">
        <v>108</v>
      </c>
      <c r="B119" s="471" t="s">
        <v>14</v>
      </c>
      <c r="C119" s="472"/>
      <c r="D119" s="51">
        <v>0.03</v>
      </c>
      <c r="E119" s="34">
        <v>140.53</v>
      </c>
      <c r="F119" s="34">
        <v>145.30000000000001</v>
      </c>
      <c r="G119" s="34">
        <v>145.34</v>
      </c>
      <c r="H119" s="329">
        <v>153.43</v>
      </c>
      <c r="I119" s="34">
        <v>153.63</v>
      </c>
      <c r="J119" s="34">
        <f>ROUND((($J$130+$J$115+$J$116)/(1-($D$118+$D$119+$D$120)))*D119,2)</f>
        <v>169.36</v>
      </c>
      <c r="K119" s="469"/>
      <c r="L119" s="470"/>
      <c r="N119" s="9"/>
      <c r="O119" s="9"/>
      <c r="P119" s="9"/>
    </row>
    <row r="120" spans="1:16" ht="13" x14ac:dyDescent="0.25">
      <c r="A120" s="32" t="s">
        <v>109</v>
      </c>
      <c r="B120" s="471" t="s">
        <v>30</v>
      </c>
      <c r="C120" s="472"/>
      <c r="D120" s="51">
        <f>M9</f>
        <v>2.5000000000000001E-2</v>
      </c>
      <c r="E120" s="34">
        <v>117.11</v>
      </c>
      <c r="F120" s="34">
        <v>121.08</v>
      </c>
      <c r="G120" s="34">
        <v>121.11</v>
      </c>
      <c r="H120" s="329">
        <v>127.86</v>
      </c>
      <c r="I120" s="34">
        <v>128.03</v>
      </c>
      <c r="J120" s="34">
        <f>ROUND((($J$130+$J$115+$J$116)/(1-($D$118+$D$119+$D$120)))*D120,2)</f>
        <v>141.13</v>
      </c>
    </row>
    <row r="121" spans="1:16" ht="12.75" customHeight="1" x14ac:dyDescent="0.25">
      <c r="A121" s="475" t="s">
        <v>157</v>
      </c>
      <c r="B121" s="476"/>
      <c r="C121" s="477"/>
      <c r="D121" s="47">
        <f>SUM(D115:D120)</f>
        <v>0.10169999999999998</v>
      </c>
      <c r="E121" s="31">
        <v>459.24</v>
      </c>
      <c r="F121" s="31">
        <v>474.82</v>
      </c>
      <c r="G121" s="31">
        <v>474.94000000000005</v>
      </c>
      <c r="H121" s="31">
        <v>501.38</v>
      </c>
      <c r="I121" s="31">
        <f>SUM(I115:I120)</f>
        <v>502.04999999999995</v>
      </c>
      <c r="J121" s="31">
        <f>SUM(J115:J120)</f>
        <v>553.42000000000007</v>
      </c>
    </row>
    <row r="123" spans="1:16" ht="12.75" customHeight="1" x14ac:dyDescent="0.25">
      <c r="A123" s="486" t="s">
        <v>110</v>
      </c>
      <c r="B123" s="486"/>
      <c r="C123" s="486"/>
      <c r="D123" s="486"/>
      <c r="E123" s="486"/>
      <c r="F123" s="486"/>
      <c r="G123" s="486"/>
      <c r="H123" s="486"/>
      <c r="I123" s="486"/>
      <c r="J123" s="486"/>
    </row>
    <row r="124" spans="1:16" ht="12.75" customHeight="1" x14ac:dyDescent="0.25">
      <c r="A124" s="486" t="s">
        <v>111</v>
      </c>
      <c r="B124" s="486"/>
      <c r="C124" s="486"/>
      <c r="D124" s="486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5">
      <c r="A125" s="136" t="s">
        <v>0</v>
      </c>
      <c r="B125" s="481" t="s">
        <v>65</v>
      </c>
      <c r="C125" s="481"/>
      <c r="D125" s="481"/>
      <c r="E125" s="25">
        <v>2249.62</v>
      </c>
      <c r="F125" s="25">
        <v>2331.67</v>
      </c>
      <c r="G125" s="25">
        <v>2331.67</v>
      </c>
      <c r="H125" s="323">
        <v>2471.83</v>
      </c>
      <c r="I125" s="25">
        <v>2471.83</v>
      </c>
      <c r="J125" s="25">
        <f>J39</f>
        <v>2741.93</v>
      </c>
    </row>
    <row r="126" spans="1:16" x14ac:dyDescent="0.25">
      <c r="A126" s="136" t="s">
        <v>1</v>
      </c>
      <c r="B126" s="481" t="s">
        <v>68</v>
      </c>
      <c r="C126" s="481"/>
      <c r="D126" s="481"/>
      <c r="E126" s="25">
        <v>1466.38</v>
      </c>
      <c r="F126" s="25">
        <v>1510.35</v>
      </c>
      <c r="G126" s="25">
        <v>1534.35</v>
      </c>
      <c r="H126" s="323">
        <v>1609.48</v>
      </c>
      <c r="I126" s="25">
        <v>1615.48</v>
      </c>
      <c r="J126" s="25">
        <f>J69</f>
        <v>1760.27</v>
      </c>
    </row>
    <row r="127" spans="1:16" x14ac:dyDescent="0.25">
      <c r="A127" s="136" t="s">
        <v>2</v>
      </c>
      <c r="B127" s="481" t="s">
        <v>84</v>
      </c>
      <c r="C127" s="481"/>
      <c r="D127" s="481"/>
      <c r="E127" s="25">
        <v>125.39</v>
      </c>
      <c r="F127" s="25">
        <v>129.96</v>
      </c>
      <c r="G127" s="25">
        <v>107.05</v>
      </c>
      <c r="H127" s="323">
        <v>113.46</v>
      </c>
      <c r="I127" s="25">
        <v>113.46</v>
      </c>
      <c r="J127" s="25">
        <f>J79</f>
        <v>125.86</v>
      </c>
    </row>
    <row r="128" spans="1:16" x14ac:dyDescent="0.25">
      <c r="A128" s="56" t="s">
        <v>3</v>
      </c>
      <c r="B128" s="481" t="s">
        <v>92</v>
      </c>
      <c r="C128" s="481"/>
      <c r="D128" s="481"/>
      <c r="E128" s="25">
        <v>349.12</v>
      </c>
      <c r="F128" s="25">
        <v>361.85</v>
      </c>
      <c r="G128" s="25">
        <v>361.85</v>
      </c>
      <c r="H128" s="323">
        <v>383.6</v>
      </c>
      <c r="I128" s="25">
        <v>383.6</v>
      </c>
      <c r="J128" s="25">
        <f>J104</f>
        <v>425.52</v>
      </c>
      <c r="L128" s="218"/>
    </row>
    <row r="129" spans="1:12" x14ac:dyDescent="0.25">
      <c r="A129" s="57" t="s">
        <v>4</v>
      </c>
      <c r="B129" s="481" t="s">
        <v>103</v>
      </c>
      <c r="C129" s="481"/>
      <c r="D129" s="481"/>
      <c r="E129" s="58">
        <v>34.69</v>
      </c>
      <c r="F129" s="58">
        <v>34.69</v>
      </c>
      <c r="G129" s="58">
        <v>34.69</v>
      </c>
      <c r="H129" s="331">
        <v>34.69</v>
      </c>
      <c r="I129" s="58">
        <v>34.69</v>
      </c>
      <c r="J129" s="58">
        <f>J111</f>
        <v>38.18</v>
      </c>
      <c r="L129" s="218"/>
    </row>
    <row r="130" spans="1:12" ht="13" x14ac:dyDescent="0.25">
      <c r="A130" s="59"/>
      <c r="B130" s="482" t="s">
        <v>112</v>
      </c>
      <c r="C130" s="482"/>
      <c r="D130" s="482"/>
      <c r="E130" s="60">
        <v>4225.2</v>
      </c>
      <c r="F130" s="60">
        <v>4368.5199999999995</v>
      </c>
      <c r="G130" s="60">
        <v>4369.6099999999997</v>
      </c>
      <c r="H130" s="60">
        <v>4613.0599999999995</v>
      </c>
      <c r="I130" s="60">
        <v>4619.0599999999995</v>
      </c>
      <c r="J130" s="60">
        <f>SUM(J125:J129)</f>
        <v>5091.76</v>
      </c>
    </row>
    <row r="131" spans="1:12" x14ac:dyDescent="0.25">
      <c r="A131" s="136" t="s">
        <v>5</v>
      </c>
      <c r="B131" s="481" t="s">
        <v>105</v>
      </c>
      <c r="C131" s="481"/>
      <c r="D131" s="481"/>
      <c r="E131" s="25">
        <v>459.24</v>
      </c>
      <c r="F131" s="25">
        <v>474.82</v>
      </c>
      <c r="G131" s="25">
        <v>474.94000000000005</v>
      </c>
      <c r="H131" s="323">
        <v>501.38</v>
      </c>
      <c r="I131" s="25">
        <v>502.04999999999995</v>
      </c>
      <c r="J131" s="25">
        <f>J121</f>
        <v>553.42000000000007</v>
      </c>
    </row>
    <row r="132" spans="1:12" ht="13" x14ac:dyDescent="0.25">
      <c r="A132" s="474" t="s">
        <v>113</v>
      </c>
      <c r="B132" s="474"/>
      <c r="C132" s="474"/>
      <c r="D132" s="474"/>
      <c r="E132" s="119">
        <v>4684.4399999999996</v>
      </c>
      <c r="F132" s="119">
        <v>4843.34</v>
      </c>
      <c r="G132" s="119">
        <v>4844.55</v>
      </c>
      <c r="H132" s="119">
        <v>5114.4399999999996</v>
      </c>
      <c r="I132" s="119">
        <v>5121.1099999999997</v>
      </c>
      <c r="J132" s="119">
        <f>ROUND(SUM(J130:J131),2)</f>
        <v>5645.18</v>
      </c>
    </row>
    <row r="133" spans="1:12" ht="13" x14ac:dyDescent="0.25">
      <c r="A133" s="485" t="s">
        <v>140</v>
      </c>
      <c r="B133" s="485"/>
      <c r="C133" s="485"/>
      <c r="D133" s="485"/>
      <c r="E133" s="118">
        <v>1</v>
      </c>
      <c r="F133" s="118">
        <v>1</v>
      </c>
      <c r="G133" s="118">
        <v>1</v>
      </c>
      <c r="H133" s="118">
        <v>1</v>
      </c>
      <c r="I133" s="118">
        <v>1</v>
      </c>
      <c r="J133" s="118">
        <f>D16</f>
        <v>1</v>
      </c>
    </row>
    <row r="134" spans="1:12" ht="13" x14ac:dyDescent="0.25">
      <c r="A134" s="473" t="s">
        <v>141</v>
      </c>
      <c r="B134" s="473"/>
      <c r="C134" s="473"/>
      <c r="D134" s="473"/>
      <c r="E134" s="235">
        <v>4684.4399999999996</v>
      </c>
      <c r="F134" s="235">
        <v>4843.34</v>
      </c>
      <c r="G134" s="111">
        <v>4844.55</v>
      </c>
      <c r="H134" s="111">
        <v>5114.4399999999996</v>
      </c>
      <c r="I134" s="111">
        <f>ROUND(I132*I133,2)</f>
        <v>5121.1099999999997</v>
      </c>
      <c r="J134" s="111">
        <f>ROUND(J132*J133,2)</f>
        <v>5645.18</v>
      </c>
    </row>
  </sheetData>
  <mergeCells count="123">
    <mergeCell ref="A1:J1"/>
    <mergeCell ref="L3:M3"/>
    <mergeCell ref="A3:C3"/>
    <mergeCell ref="D3:J3"/>
    <mergeCell ref="A4:C4"/>
    <mergeCell ref="D4:J4"/>
    <mergeCell ref="A8:J8"/>
    <mergeCell ref="B9:D9"/>
    <mergeCell ref="B10:D10"/>
    <mergeCell ref="A7:J7"/>
    <mergeCell ref="A5:J5"/>
    <mergeCell ref="A6:J6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32:C32"/>
    <mergeCell ref="B33:C33"/>
    <mergeCell ref="B34:C34"/>
    <mergeCell ref="B35:C35"/>
    <mergeCell ref="B36:C36"/>
    <mergeCell ref="B37:C37"/>
    <mergeCell ref="A39:D39"/>
    <mergeCell ref="A41:J41"/>
    <mergeCell ref="A42:C42"/>
    <mergeCell ref="B38:C38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A95:D95"/>
    <mergeCell ref="B96:D96"/>
    <mergeCell ref="A97:D97"/>
    <mergeCell ref="A98:J98"/>
    <mergeCell ref="A100:J100"/>
    <mergeCell ref="A101:D101"/>
    <mergeCell ref="B115:C115"/>
    <mergeCell ref="B102:D102"/>
    <mergeCell ref="B103:D103"/>
    <mergeCell ref="A104:D104"/>
    <mergeCell ref="A106:J106"/>
    <mergeCell ref="B107:C107"/>
    <mergeCell ref="B108:C108"/>
    <mergeCell ref="K118:L118"/>
    <mergeCell ref="B119:C119"/>
    <mergeCell ref="K119:L119"/>
    <mergeCell ref="A134:D134"/>
    <mergeCell ref="A132:D132"/>
    <mergeCell ref="B109:C109"/>
    <mergeCell ref="B110:C110"/>
    <mergeCell ref="A111:C111"/>
    <mergeCell ref="A113:J113"/>
    <mergeCell ref="B114:C114"/>
    <mergeCell ref="B127:D127"/>
    <mergeCell ref="B128:D128"/>
    <mergeCell ref="B129:D129"/>
    <mergeCell ref="B130:D130"/>
    <mergeCell ref="B131:D131"/>
    <mergeCell ref="B120:C120"/>
    <mergeCell ref="A121:C121"/>
    <mergeCell ref="B117:C117"/>
    <mergeCell ref="B118:C118"/>
    <mergeCell ref="A133:D133"/>
    <mergeCell ref="A123:J123"/>
    <mergeCell ref="A124:D124"/>
    <mergeCell ref="B125:D125"/>
    <mergeCell ref="B126:D12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9">
    <tabColor theme="3"/>
  </sheetPr>
  <dimension ref="A1:P134"/>
  <sheetViews>
    <sheetView view="pageBreakPreview" topLeftCell="A10" zoomScaleNormal="100" zoomScaleSheetLayoutView="100" workbookViewId="0">
      <selection activeCell="J22" sqref="J22"/>
    </sheetView>
  </sheetViews>
  <sheetFormatPr defaultColWidth="9.1796875" defaultRowHeight="12.5" x14ac:dyDescent="0.25"/>
  <cols>
    <col min="1" max="1" width="7.1796875" style="9" customWidth="1"/>
    <col min="2" max="2" width="24.1796875" style="9" customWidth="1"/>
    <col min="3" max="3" width="34.81640625" style="9" customWidth="1"/>
    <col min="4" max="4" width="13.26953125" style="9" customWidth="1"/>
    <col min="5" max="6" width="19" style="9" hidden="1" customWidth="1"/>
    <col min="7" max="7" width="22.1796875" style="10" hidden="1" customWidth="1"/>
    <col min="8" max="8" width="22.1796875" style="322" hidden="1" customWidth="1"/>
    <col min="9" max="10" width="22.1796875" style="10" customWidth="1"/>
    <col min="11" max="11" width="21.453125" style="9" customWidth="1"/>
    <col min="12" max="12" width="33.453125" style="9" bestFit="1" customWidth="1"/>
    <col min="13" max="13" width="15.7265625" style="137" customWidth="1"/>
    <col min="14" max="14" width="17" style="9" customWidth="1"/>
    <col min="15" max="16384" width="9.1796875" style="9"/>
  </cols>
  <sheetData>
    <row r="1" spans="1:16" ht="13" x14ac:dyDescent="0.25">
      <c r="A1" s="493" t="s">
        <v>241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6" ht="13" x14ac:dyDescent="0.25">
      <c r="A2" s="134"/>
      <c r="B2" s="134"/>
      <c r="C2" s="134"/>
      <c r="D2" s="134"/>
      <c r="E2" s="228"/>
      <c r="F2" s="243"/>
      <c r="G2" s="305"/>
      <c r="H2" s="305"/>
      <c r="I2" s="318"/>
      <c r="J2" s="134"/>
      <c r="N2" s="123"/>
    </row>
    <row r="3" spans="1:16" ht="13" x14ac:dyDescent="0.25">
      <c r="A3" s="495" t="s">
        <v>242</v>
      </c>
      <c r="B3" s="496"/>
      <c r="C3" s="497"/>
      <c r="D3" s="498" t="s">
        <v>239</v>
      </c>
      <c r="E3" s="498"/>
      <c r="F3" s="498"/>
      <c r="G3" s="498"/>
      <c r="H3" s="498"/>
      <c r="I3" s="498"/>
      <c r="J3" s="498"/>
      <c r="L3" s="494"/>
      <c r="M3" s="494"/>
      <c r="N3" s="124"/>
    </row>
    <row r="4" spans="1:16" ht="13" x14ac:dyDescent="0.25">
      <c r="A4" s="495" t="s">
        <v>243</v>
      </c>
      <c r="B4" s="496"/>
      <c r="C4" s="497"/>
      <c r="D4" s="499" t="s">
        <v>240</v>
      </c>
      <c r="E4" s="499"/>
      <c r="F4" s="499"/>
      <c r="G4" s="499"/>
      <c r="H4" s="499"/>
      <c r="I4" s="499"/>
      <c r="J4" s="499"/>
      <c r="L4" s="185"/>
      <c r="M4" s="186"/>
    </row>
    <row r="5" spans="1:16" ht="13" x14ac:dyDescent="0.25">
      <c r="A5" s="495" t="s">
        <v>245</v>
      </c>
      <c r="B5" s="496"/>
      <c r="C5" s="496"/>
      <c r="D5" s="496"/>
      <c r="E5" s="496"/>
      <c r="F5" s="496"/>
      <c r="G5" s="496"/>
      <c r="H5" s="496"/>
      <c r="I5" s="496"/>
      <c r="J5" s="497"/>
      <c r="L5" s="185"/>
      <c r="M5" s="186"/>
      <c r="N5" s="124"/>
    </row>
    <row r="6" spans="1:16" ht="13" x14ac:dyDescent="0.25">
      <c r="A6" s="495" t="s">
        <v>244</v>
      </c>
      <c r="B6" s="496"/>
      <c r="C6" s="496"/>
      <c r="D6" s="496"/>
      <c r="E6" s="496"/>
      <c r="F6" s="496"/>
      <c r="G6" s="496"/>
      <c r="H6" s="496"/>
      <c r="I6" s="496"/>
      <c r="J6" s="497"/>
      <c r="L6" s="185"/>
      <c r="M6" s="211"/>
    </row>
    <row r="7" spans="1:16" x14ac:dyDescent="0.25">
      <c r="A7" s="500"/>
      <c r="B7" s="500"/>
      <c r="C7" s="500"/>
      <c r="D7" s="500"/>
      <c r="E7" s="500"/>
      <c r="F7" s="500"/>
      <c r="G7" s="500"/>
      <c r="H7" s="500"/>
      <c r="I7" s="500"/>
      <c r="J7" s="500"/>
      <c r="L7" s="185"/>
      <c r="M7" s="186"/>
      <c r="N7" s="10"/>
      <c r="P7" s="113"/>
    </row>
    <row r="8" spans="1:16" ht="12.75" customHeight="1" thickBot="1" x14ac:dyDescent="0.3">
      <c r="A8" s="486" t="s">
        <v>55</v>
      </c>
      <c r="B8" s="486"/>
      <c r="C8" s="486"/>
      <c r="D8" s="486"/>
      <c r="E8" s="486"/>
      <c r="F8" s="486"/>
      <c r="G8" s="486"/>
      <c r="H8" s="486"/>
      <c r="I8" s="486"/>
      <c r="J8" s="486"/>
      <c r="K8" s="11"/>
      <c r="L8" s="4"/>
      <c r="M8" s="62"/>
      <c r="N8" s="112"/>
      <c r="P8" s="113"/>
    </row>
    <row r="9" spans="1:16" ht="12.75" customHeight="1" thickTop="1" x14ac:dyDescent="0.25">
      <c r="A9" s="135" t="s">
        <v>0</v>
      </c>
      <c r="B9" s="481" t="s">
        <v>56</v>
      </c>
      <c r="C9" s="481"/>
      <c r="D9" s="481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ht="13" x14ac:dyDescent="0.25">
      <c r="A10" s="135" t="s">
        <v>1</v>
      </c>
      <c r="B10" s="481" t="s">
        <v>57</v>
      </c>
      <c r="C10" s="481"/>
      <c r="D10" s="481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3">
      <c r="A11" s="135" t="s">
        <v>2</v>
      </c>
      <c r="B11" s="481" t="s">
        <v>58</v>
      </c>
      <c r="C11" s="481"/>
      <c r="D11" s="481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3">
      <c r="A12" s="16" t="s">
        <v>3</v>
      </c>
      <c r="B12" s="481" t="s">
        <v>59</v>
      </c>
      <c r="C12" s="481"/>
      <c r="D12" s="481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5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5">
      <c r="A14" s="486" t="s">
        <v>21</v>
      </c>
      <c r="B14" s="486"/>
      <c r="C14" s="486"/>
      <c r="D14" s="486"/>
      <c r="E14" s="486"/>
      <c r="F14" s="486"/>
      <c r="G14" s="486"/>
      <c r="H14" s="486"/>
      <c r="I14" s="486"/>
      <c r="J14" s="486"/>
      <c r="K14" s="11"/>
      <c r="L14" s="5" t="s">
        <v>32</v>
      </c>
      <c r="M14" s="66">
        <v>4.8</v>
      </c>
    </row>
    <row r="15" spans="1:16" s="20" customFormat="1" ht="36.75" customHeight="1" x14ac:dyDescent="0.25">
      <c r="A15" s="485" t="s">
        <v>22</v>
      </c>
      <c r="B15" s="485"/>
      <c r="C15" s="135" t="s">
        <v>23</v>
      </c>
      <c r="D15" s="485" t="s">
        <v>61</v>
      </c>
      <c r="E15" s="485"/>
      <c r="F15" s="485"/>
      <c r="G15" s="485"/>
      <c r="H15" s="485"/>
      <c r="I15" s="485"/>
      <c r="J15" s="485"/>
      <c r="K15" s="11"/>
      <c r="L15" s="5" t="s">
        <v>33</v>
      </c>
      <c r="M15" s="64">
        <v>0.06</v>
      </c>
    </row>
    <row r="16" spans="1:16" x14ac:dyDescent="0.25">
      <c r="A16" s="492" t="s">
        <v>214</v>
      </c>
      <c r="B16" s="492"/>
      <c r="C16" s="136" t="s">
        <v>218</v>
      </c>
      <c r="D16" s="492">
        <v>1</v>
      </c>
      <c r="E16" s="492"/>
      <c r="F16" s="492"/>
      <c r="G16" s="492"/>
      <c r="H16" s="492"/>
      <c r="I16" s="492"/>
      <c r="J16" s="492"/>
      <c r="K16" s="14"/>
      <c r="L16" s="5" t="s">
        <v>34</v>
      </c>
      <c r="M16" s="72">
        <v>30</v>
      </c>
    </row>
    <row r="17" spans="1:13" ht="13.5" thickBot="1" x14ac:dyDescent="0.3">
      <c r="L17" s="7" t="s">
        <v>35</v>
      </c>
      <c r="M17" s="67">
        <f>ROUND((M13*M14*M16)-(M15*(J32+J38)),2)</f>
        <v>186.23</v>
      </c>
    </row>
    <row r="18" spans="1:13" ht="29.25" customHeight="1" thickTop="1" thickBot="1" x14ac:dyDescent="0.3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5">
      <c r="A19" s="22">
        <v>1</v>
      </c>
      <c r="B19" s="491" t="s">
        <v>7</v>
      </c>
      <c r="C19" s="491"/>
      <c r="D19" s="491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ht="13" x14ac:dyDescent="0.25">
      <c r="A20" s="24">
        <v>2</v>
      </c>
      <c r="B20" s="481" t="s">
        <v>63</v>
      </c>
      <c r="C20" s="481"/>
      <c r="D20" s="481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30</v>
      </c>
    </row>
    <row r="21" spans="1:13" ht="13" x14ac:dyDescent="0.25">
      <c r="A21" s="22">
        <v>3</v>
      </c>
      <c r="B21" s="481" t="s">
        <v>64</v>
      </c>
      <c r="C21" s="481"/>
      <c r="D21" s="481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717.9</v>
      </c>
    </row>
    <row r="22" spans="1:13" ht="13" x14ac:dyDescent="0.25">
      <c r="A22" s="24">
        <v>4</v>
      </c>
      <c r="B22" s="481" t="s">
        <v>8</v>
      </c>
      <c r="C22" s="481"/>
      <c r="D22" s="481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143.58000000000001</v>
      </c>
    </row>
    <row r="23" spans="1:13" ht="13.5" thickBot="1" x14ac:dyDescent="0.3">
      <c r="A23" s="22">
        <v>5</v>
      </c>
      <c r="B23" s="481" t="s">
        <v>9</v>
      </c>
      <c r="C23" s="481"/>
      <c r="D23" s="481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574.31999999999994</v>
      </c>
    </row>
    <row r="24" spans="1:13" ht="13.5" thickTop="1" x14ac:dyDescent="0.25">
      <c r="A24" s="24">
        <v>6</v>
      </c>
      <c r="B24" s="491" t="s">
        <v>248</v>
      </c>
      <c r="C24" s="491"/>
      <c r="D24" s="491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ht="13" x14ac:dyDescent="0.25">
      <c r="A25" s="22">
        <v>7</v>
      </c>
      <c r="B25" s="481" t="s">
        <v>249</v>
      </c>
      <c r="C25" s="481"/>
      <c r="D25" s="481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ht="13" x14ac:dyDescent="0.25">
      <c r="A26" s="24">
        <v>8</v>
      </c>
      <c r="B26" s="481" t="s">
        <v>250</v>
      </c>
      <c r="C26" s="481"/>
      <c r="D26" s="481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ht="13" x14ac:dyDescent="0.25">
      <c r="A27" s="22">
        <v>9</v>
      </c>
      <c r="B27" s="481" t="s">
        <v>251</v>
      </c>
      <c r="C27" s="481"/>
      <c r="D27" s="481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ht="13" x14ac:dyDescent="0.25">
      <c r="A28" s="24">
        <v>10</v>
      </c>
      <c r="B28" s="481" t="s">
        <v>252</v>
      </c>
      <c r="C28" s="481"/>
      <c r="D28" s="481"/>
      <c r="E28" s="188">
        <v>1</v>
      </c>
      <c r="F28" s="188">
        <v>1</v>
      </c>
      <c r="G28" s="188">
        <v>1</v>
      </c>
      <c r="H28" s="327">
        <v>1</v>
      </c>
      <c r="I28" s="188">
        <f>D16</f>
        <v>1</v>
      </c>
      <c r="J28" s="188">
        <f>D16</f>
        <v>1</v>
      </c>
      <c r="L28" s="185"/>
      <c r="M28" s="207"/>
    </row>
    <row r="29" spans="1:13" ht="13.5" x14ac:dyDescent="0.25">
      <c r="G29" s="231">
        <v>44651.95</v>
      </c>
      <c r="H29" s="231">
        <v>44743.34</v>
      </c>
      <c r="I29" s="231">
        <f>ROUND(SUM(I16:J27),2)</f>
        <v>89662.73</v>
      </c>
      <c r="J29" s="231">
        <f>ROUND(SUM(J16:K27),2)</f>
        <v>44919.39</v>
      </c>
      <c r="K29" s="232"/>
      <c r="L29" s="185"/>
      <c r="M29" s="207"/>
    </row>
    <row r="30" spans="1:13" ht="13" x14ac:dyDescent="0.25">
      <c r="A30" s="478" t="s">
        <v>65</v>
      </c>
      <c r="B30" s="479"/>
      <c r="C30" s="479"/>
      <c r="D30" s="479"/>
      <c r="E30" s="479"/>
      <c r="F30" s="479"/>
      <c r="G30" s="479"/>
      <c r="H30" s="479"/>
      <c r="I30" s="479"/>
      <c r="J30" s="480"/>
      <c r="L30" s="185"/>
      <c r="M30" s="207"/>
    </row>
    <row r="31" spans="1:13" ht="13" x14ac:dyDescent="0.25">
      <c r="A31" s="29">
        <v>1</v>
      </c>
      <c r="B31" s="478" t="s">
        <v>66</v>
      </c>
      <c r="C31" s="480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ht="13" x14ac:dyDescent="0.25">
      <c r="A32" s="32" t="s">
        <v>0</v>
      </c>
      <c r="B32" s="471" t="s">
        <v>221</v>
      </c>
      <c r="C32" s="472"/>
      <c r="D32" s="33"/>
      <c r="E32" s="34">
        <v>1135.05</v>
      </c>
      <c r="F32" s="329">
        <v>1176.45</v>
      </c>
      <c r="G32" s="329">
        <v>1176.45</v>
      </c>
      <c r="H32" s="329">
        <v>1247.175</v>
      </c>
      <c r="I32" s="329">
        <v>1247.175</v>
      </c>
      <c r="J32" s="344">
        <f>J21/220*172.5</f>
        <v>1383.4499999999998</v>
      </c>
      <c r="L32" s="185"/>
      <c r="M32" s="212"/>
    </row>
    <row r="33" spans="1:14" ht="28.5" customHeight="1" x14ac:dyDescent="0.25">
      <c r="A33" s="32" t="s">
        <v>1</v>
      </c>
      <c r="B33" s="471" t="s">
        <v>304</v>
      </c>
      <c r="C33" s="472"/>
      <c r="D33" s="120">
        <v>0.3</v>
      </c>
      <c r="E33" s="34">
        <v>340.52</v>
      </c>
      <c r="F33" s="34">
        <v>352.94</v>
      </c>
      <c r="G33" s="34">
        <v>352.94</v>
      </c>
      <c r="H33" s="329">
        <v>374.15</v>
      </c>
      <c r="I33" s="34">
        <v>374.15</v>
      </c>
      <c r="J33" s="34">
        <f>ROUND(D33*J32,2)</f>
        <v>415.04</v>
      </c>
      <c r="L33" s="185"/>
      <c r="M33" s="213"/>
      <c r="N33" s="170"/>
    </row>
    <row r="34" spans="1:14" ht="44.25" customHeight="1" x14ac:dyDescent="0.25">
      <c r="A34" s="32" t="s">
        <v>2</v>
      </c>
      <c r="B34" s="471" t="s">
        <v>305</v>
      </c>
      <c r="C34" s="472"/>
      <c r="D34" s="33"/>
      <c r="E34" s="34">
        <v>32.9</v>
      </c>
      <c r="F34" s="34">
        <v>34.1</v>
      </c>
      <c r="G34" s="34">
        <v>34.1</v>
      </c>
      <c r="H34" s="329">
        <v>36.15</v>
      </c>
      <c r="I34" s="34">
        <v>36.15</v>
      </c>
      <c r="J34" s="34">
        <f>ROUND((J32/172.5)/6*30,2)</f>
        <v>40.1</v>
      </c>
      <c r="L34" s="170"/>
      <c r="M34" s="170"/>
      <c r="N34" s="170"/>
    </row>
    <row r="35" spans="1:14" ht="42" customHeight="1" x14ac:dyDescent="0.25">
      <c r="A35" s="32" t="s">
        <v>3</v>
      </c>
      <c r="B35" s="471" t="s">
        <v>306</v>
      </c>
      <c r="C35" s="472"/>
      <c r="D35" s="33"/>
      <c r="E35" s="34">
        <v>0</v>
      </c>
      <c r="F35" s="34">
        <v>0</v>
      </c>
      <c r="G35" s="34">
        <v>0</v>
      </c>
      <c r="H35" s="329">
        <v>0</v>
      </c>
      <c r="I35" s="34">
        <v>0</v>
      </c>
      <c r="J35" s="34">
        <v>0</v>
      </c>
      <c r="L35" s="170"/>
      <c r="M35" s="170"/>
    </row>
    <row r="36" spans="1:14" ht="56.25" customHeight="1" x14ac:dyDescent="0.25">
      <c r="A36" s="32" t="s">
        <v>4</v>
      </c>
      <c r="B36" s="471" t="s">
        <v>307</v>
      </c>
      <c r="C36" s="472"/>
      <c r="D36" s="33"/>
      <c r="E36" s="34">
        <v>0</v>
      </c>
      <c r="F36" s="34">
        <v>0</v>
      </c>
      <c r="G36" s="34">
        <v>0</v>
      </c>
      <c r="H36" s="329">
        <v>0</v>
      </c>
      <c r="I36" s="34">
        <v>0</v>
      </c>
      <c r="J36" s="34">
        <v>0</v>
      </c>
    </row>
    <row r="37" spans="1:14" ht="13" x14ac:dyDescent="0.25">
      <c r="A37" s="32" t="s">
        <v>5</v>
      </c>
      <c r="B37" s="471" t="s">
        <v>50</v>
      </c>
      <c r="C37" s="472"/>
      <c r="D37" s="33"/>
      <c r="E37" s="34">
        <v>5.48</v>
      </c>
      <c r="F37" s="34">
        <v>5.68</v>
      </c>
      <c r="G37" s="34">
        <v>5.68</v>
      </c>
      <c r="H37" s="329">
        <v>6.03</v>
      </c>
      <c r="I37" s="34">
        <v>6.03</v>
      </c>
      <c r="J37" s="34">
        <f>ROUND((J34+J35+J36)*16.67%,2)</f>
        <v>6.68</v>
      </c>
      <c r="K37" s="170">
        <f>ROUND((J34)*16.67%,2)</f>
        <v>6.68</v>
      </c>
      <c r="M37" s="9"/>
    </row>
    <row r="38" spans="1:14" ht="13" x14ac:dyDescent="0.25">
      <c r="A38" s="32" t="s">
        <v>6</v>
      </c>
      <c r="B38" s="471" t="s">
        <v>217</v>
      </c>
      <c r="C38" s="472"/>
      <c r="D38" s="33"/>
      <c r="E38" s="34">
        <v>256.62</v>
      </c>
      <c r="F38" s="34">
        <v>265.98</v>
      </c>
      <c r="G38" s="34">
        <v>265.98</v>
      </c>
      <c r="H38" s="329">
        <v>281.97000000000003</v>
      </c>
      <c r="I38" s="34">
        <v>281.97000000000003</v>
      </c>
      <c r="J38" s="34">
        <f>ROUND((J32+J33)/172.5*5*6,2)</f>
        <v>312.77999999999997</v>
      </c>
      <c r="M38" s="9"/>
    </row>
    <row r="39" spans="1:14" ht="13" x14ac:dyDescent="0.25">
      <c r="A39" s="475" t="s">
        <v>157</v>
      </c>
      <c r="B39" s="476"/>
      <c r="C39" s="476"/>
      <c r="D39" s="477"/>
      <c r="E39" s="35">
        <v>1770.57</v>
      </c>
      <c r="F39" s="31">
        <v>1835.15</v>
      </c>
      <c r="G39" s="35">
        <v>1835.15</v>
      </c>
      <c r="H39" s="35">
        <v>1945.48</v>
      </c>
      <c r="I39" s="35">
        <f>ROUND(SUM(I32:I38),2)</f>
        <v>1945.48</v>
      </c>
      <c r="J39" s="35">
        <f>ROUND(SUM(J32:J38),2)</f>
        <v>2158.0500000000002</v>
      </c>
      <c r="K39" s="35">
        <f>ROUND(SUM(J32:J38),2)-J34-K37</f>
        <v>2111.2700000000004</v>
      </c>
      <c r="M39" s="9"/>
    </row>
    <row r="40" spans="1:14" x14ac:dyDescent="0.25">
      <c r="M40" s="9"/>
    </row>
    <row r="41" spans="1:14" ht="13" x14ac:dyDescent="0.25">
      <c r="A41" s="478" t="s">
        <v>68</v>
      </c>
      <c r="B41" s="479"/>
      <c r="C41" s="479"/>
      <c r="D41" s="479"/>
      <c r="E41" s="479"/>
      <c r="F41" s="479"/>
      <c r="G41" s="479"/>
      <c r="H41" s="479"/>
      <c r="I41" s="479"/>
      <c r="J41" s="480"/>
      <c r="M41" s="9"/>
    </row>
    <row r="42" spans="1:14" ht="13" x14ac:dyDescent="0.25">
      <c r="A42" s="478" t="s">
        <v>69</v>
      </c>
      <c r="B42" s="479"/>
      <c r="C42" s="480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ht="13" x14ac:dyDescent="0.25">
      <c r="A43" s="32" t="s">
        <v>0</v>
      </c>
      <c r="B43" s="471" t="s">
        <v>70</v>
      </c>
      <c r="C43" s="472"/>
      <c r="D43" s="36">
        <f>'Encargos Sociais'!C5</f>
        <v>8.3299999999999999E-2</v>
      </c>
      <c r="E43" s="34">
        <v>144.29</v>
      </c>
      <c r="F43" s="34">
        <v>149.55000000000001</v>
      </c>
      <c r="G43" s="34">
        <v>149.55000000000001</v>
      </c>
      <c r="H43" s="329">
        <v>158.54</v>
      </c>
      <c r="I43" s="34">
        <v>158.54</v>
      </c>
      <c r="J43" s="34">
        <f>ROUND(D43*$K$39,2)</f>
        <v>175.87</v>
      </c>
    </row>
    <row r="44" spans="1:14" ht="13" x14ac:dyDescent="0.25">
      <c r="A44" s="32" t="s">
        <v>1</v>
      </c>
      <c r="B44" s="471" t="s">
        <v>49</v>
      </c>
      <c r="C44" s="472"/>
      <c r="D44" s="36">
        <f>'Encargos Sociais'!C11</f>
        <v>0.121</v>
      </c>
      <c r="E44" s="34">
        <v>209.59</v>
      </c>
      <c r="F44" s="34">
        <v>217.24</v>
      </c>
      <c r="G44" s="34">
        <v>217.24</v>
      </c>
      <c r="H44" s="329">
        <v>230.3</v>
      </c>
      <c r="I44" s="34">
        <v>230.3</v>
      </c>
      <c r="J44" s="34">
        <f>ROUND(D44*$K$39,2)</f>
        <v>255.46</v>
      </c>
      <c r="M44" s="9"/>
    </row>
    <row r="45" spans="1:14" ht="12.75" customHeight="1" x14ac:dyDescent="0.25">
      <c r="A45" s="475" t="s">
        <v>156</v>
      </c>
      <c r="B45" s="476"/>
      <c r="C45" s="477"/>
      <c r="D45" s="37">
        <f>SUM(D43:D44)</f>
        <v>0.20429999999999998</v>
      </c>
      <c r="E45" s="35">
        <v>353.88</v>
      </c>
      <c r="F45" s="35">
        <v>366.79</v>
      </c>
      <c r="G45" s="35">
        <v>366.79</v>
      </c>
      <c r="H45" s="35">
        <v>388.84</v>
      </c>
      <c r="I45" s="35">
        <f>ROUND(SUM(I43:I44),2)</f>
        <v>388.84</v>
      </c>
      <c r="J45" s="35">
        <f>ROUND(SUM(J43:J44),2)</f>
        <v>431.33</v>
      </c>
      <c r="M45" s="9"/>
    </row>
    <row r="46" spans="1:14" x14ac:dyDescent="0.25">
      <c r="M46" s="9"/>
    </row>
    <row r="47" spans="1:14" ht="12.75" customHeight="1" x14ac:dyDescent="0.25">
      <c r="A47" s="478" t="s">
        <v>71</v>
      </c>
      <c r="B47" s="479"/>
      <c r="C47" s="480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ht="13" x14ac:dyDescent="0.25">
      <c r="A48" s="32" t="s">
        <v>0</v>
      </c>
      <c r="B48" s="489" t="s">
        <v>16</v>
      </c>
      <c r="C48" s="490"/>
      <c r="D48" s="36">
        <f>'Encargos Sociais'!C16</f>
        <v>0.2</v>
      </c>
      <c r="E48" s="34">
        <v>346.44</v>
      </c>
      <c r="F48" s="34">
        <v>359.07</v>
      </c>
      <c r="G48" s="34">
        <v>359.07</v>
      </c>
      <c r="H48" s="329">
        <v>380.66</v>
      </c>
      <c r="I48" s="34">
        <v>380.66</v>
      </c>
      <c r="J48" s="34">
        <f t="shared" ref="J48:J55" si="0">ROUND(D48*($K$39),2)</f>
        <v>422.25</v>
      </c>
      <c r="M48" s="9"/>
    </row>
    <row r="49" spans="1:13" ht="13" x14ac:dyDescent="0.25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43.3</v>
      </c>
      <c r="F49" s="34">
        <v>44.88</v>
      </c>
      <c r="G49" s="34">
        <v>44.88</v>
      </c>
      <c r="H49" s="329">
        <v>47.58</v>
      </c>
      <c r="I49" s="34">
        <v>47.58</v>
      </c>
      <c r="J49" s="34">
        <f t="shared" si="0"/>
        <v>52.78</v>
      </c>
    </row>
    <row r="50" spans="1:13" ht="13" x14ac:dyDescent="0.25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70.67</v>
      </c>
      <c r="F50" s="34">
        <v>73.25</v>
      </c>
      <c r="G50" s="34">
        <v>73.25</v>
      </c>
      <c r="H50" s="329">
        <v>77.650000000000006</v>
      </c>
      <c r="I50" s="34">
        <v>77.650000000000006</v>
      </c>
      <c r="J50" s="34">
        <f t="shared" si="0"/>
        <v>86.14</v>
      </c>
    </row>
    <row r="51" spans="1:13" ht="13" x14ac:dyDescent="0.25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25.98</v>
      </c>
      <c r="F51" s="34">
        <v>26.93</v>
      </c>
      <c r="G51" s="34">
        <v>26.93</v>
      </c>
      <c r="H51" s="329">
        <v>28.55</v>
      </c>
      <c r="I51" s="34">
        <v>28.55</v>
      </c>
      <c r="J51" s="34">
        <f t="shared" si="0"/>
        <v>31.67</v>
      </c>
    </row>
    <row r="52" spans="1:13" ht="13" x14ac:dyDescent="0.25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17.32</v>
      </c>
      <c r="F52" s="34">
        <v>17.95</v>
      </c>
      <c r="G52" s="34">
        <v>17.95</v>
      </c>
      <c r="H52" s="329">
        <v>19.03</v>
      </c>
      <c r="I52" s="34">
        <v>19.03</v>
      </c>
      <c r="J52" s="34">
        <f t="shared" si="0"/>
        <v>21.11</v>
      </c>
    </row>
    <row r="53" spans="1:13" ht="13" x14ac:dyDescent="0.25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10.39</v>
      </c>
      <c r="F53" s="34">
        <v>10.77</v>
      </c>
      <c r="G53" s="34">
        <v>10.77</v>
      </c>
      <c r="H53" s="329">
        <v>11.42</v>
      </c>
      <c r="I53" s="34">
        <v>11.42</v>
      </c>
      <c r="J53" s="34">
        <f t="shared" si="0"/>
        <v>12.67</v>
      </c>
    </row>
    <row r="54" spans="1:13" ht="13" x14ac:dyDescent="0.25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3.46</v>
      </c>
      <c r="F54" s="34">
        <v>3.59</v>
      </c>
      <c r="G54" s="34">
        <v>3.59</v>
      </c>
      <c r="H54" s="329">
        <v>3.81</v>
      </c>
      <c r="I54" s="34">
        <v>3.81</v>
      </c>
      <c r="J54" s="34">
        <f t="shared" si="0"/>
        <v>4.22</v>
      </c>
    </row>
    <row r="55" spans="1:13" ht="13" x14ac:dyDescent="0.25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138.58000000000001</v>
      </c>
      <c r="F55" s="34">
        <v>143.63</v>
      </c>
      <c r="G55" s="34">
        <v>143.63</v>
      </c>
      <c r="H55" s="329">
        <v>152.26</v>
      </c>
      <c r="I55" s="34">
        <v>152.26</v>
      </c>
      <c r="J55" s="34">
        <f t="shared" si="0"/>
        <v>168.9</v>
      </c>
    </row>
    <row r="56" spans="1:13" ht="12.75" customHeight="1" x14ac:dyDescent="0.25">
      <c r="A56" s="475" t="s">
        <v>156</v>
      </c>
      <c r="B56" s="476"/>
      <c r="C56" s="477"/>
      <c r="D56" s="37">
        <f>SUM(D48:D55)</f>
        <v>0.37880000000000008</v>
      </c>
      <c r="E56" s="35">
        <v>656.14</v>
      </c>
      <c r="F56" s="35">
        <v>680.07</v>
      </c>
      <c r="G56" s="35">
        <v>680.07</v>
      </c>
      <c r="H56" s="35">
        <v>720.96</v>
      </c>
      <c r="I56" s="35">
        <f>ROUND(SUM(I48:I55),2)</f>
        <v>720.96</v>
      </c>
      <c r="J56" s="35">
        <f>ROUND(SUM(J48:J55),2)</f>
        <v>799.74</v>
      </c>
      <c r="K56" s="210"/>
      <c r="L56" s="20"/>
    </row>
    <row r="58" spans="1:13" ht="12.75" customHeight="1" x14ac:dyDescent="0.25">
      <c r="A58" s="478" t="s">
        <v>75</v>
      </c>
      <c r="B58" s="479"/>
      <c r="C58" s="480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5">
      <c r="A59" s="32" t="s">
        <v>0</v>
      </c>
      <c r="B59" s="471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30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72"/>
      <c r="D59" s="38" t="s">
        <v>76</v>
      </c>
      <c r="E59" s="34">
        <v>174.5</v>
      </c>
      <c r="F59" s="34">
        <v>171.45</v>
      </c>
      <c r="G59" s="34">
        <v>195.45</v>
      </c>
      <c r="H59" s="329">
        <v>190.25</v>
      </c>
      <c r="I59" s="34">
        <v>196.25</v>
      </c>
      <c r="J59" s="34">
        <f>IF(M17&lt;=0,0,IF(M17&gt;0,M17))</f>
        <v>186.23</v>
      </c>
      <c r="K59" s="39"/>
      <c r="L59" s="40"/>
    </row>
    <row r="60" spans="1:13" ht="54" customHeight="1" x14ac:dyDescent="0.25">
      <c r="A60" s="32" t="s">
        <v>1</v>
      </c>
      <c r="B60" s="471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30 Dias Trabalhados) - (20% do desconto legal) ]</v>
      </c>
      <c r="C60" s="472"/>
      <c r="D60" s="38" t="s">
        <v>76</v>
      </c>
      <c r="E60" s="34">
        <v>0</v>
      </c>
      <c r="F60" s="329">
        <v>0</v>
      </c>
      <c r="G60" s="329">
        <v>0</v>
      </c>
      <c r="H60" s="329">
        <v>0</v>
      </c>
      <c r="I60" s="329">
        <v>0</v>
      </c>
      <c r="J60" s="344">
        <v>0</v>
      </c>
      <c r="K60" s="39"/>
      <c r="L60" s="40"/>
      <c r="M60" s="41"/>
    </row>
    <row r="61" spans="1:13" ht="13" x14ac:dyDescent="0.25">
      <c r="A61" s="32" t="s">
        <v>2</v>
      </c>
      <c r="B61" s="471" t="s">
        <v>314</v>
      </c>
      <c r="C61" s="472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5">
      <c r="A62" s="475" t="s">
        <v>156</v>
      </c>
      <c r="B62" s="476"/>
      <c r="C62" s="477"/>
      <c r="D62" s="42"/>
      <c r="E62" s="35">
        <v>177</v>
      </c>
      <c r="F62" s="35">
        <v>173.95</v>
      </c>
      <c r="G62" s="35">
        <v>197.95</v>
      </c>
      <c r="H62" s="35">
        <v>192.75</v>
      </c>
      <c r="I62" s="35">
        <f>ROUND(SUM(I59:I61),2)</f>
        <v>198.75</v>
      </c>
      <c r="J62" s="35">
        <f>ROUND(SUM(J59:J61),2)</f>
        <v>188.73</v>
      </c>
    </row>
    <row r="64" spans="1:13" ht="12.75" customHeight="1" x14ac:dyDescent="0.25">
      <c r="A64" s="486" t="s">
        <v>77</v>
      </c>
      <c r="B64" s="486"/>
      <c r="C64" s="486"/>
      <c r="D64" s="486"/>
      <c r="E64" s="486"/>
      <c r="F64" s="486"/>
      <c r="G64" s="486"/>
      <c r="H64" s="486"/>
      <c r="I64" s="486"/>
      <c r="J64" s="486"/>
    </row>
    <row r="65" spans="1:10" ht="12.75" customHeight="1" x14ac:dyDescent="0.25">
      <c r="A65" s="486" t="s">
        <v>78</v>
      </c>
      <c r="B65" s="486"/>
      <c r="C65" s="486"/>
      <c r="D65" s="486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ht="13" x14ac:dyDescent="0.25">
      <c r="A66" s="135" t="s">
        <v>79</v>
      </c>
      <c r="B66" s="481" t="s">
        <v>80</v>
      </c>
      <c r="C66" s="481"/>
      <c r="D66" s="481"/>
      <c r="E66" s="230">
        <v>353.88</v>
      </c>
      <c r="F66" s="25">
        <v>366.79</v>
      </c>
      <c r="G66" s="25">
        <v>366.79</v>
      </c>
      <c r="H66" s="323">
        <v>388.84</v>
      </c>
      <c r="I66" s="25">
        <v>388.84</v>
      </c>
      <c r="J66" s="25">
        <f>J45</f>
        <v>431.33</v>
      </c>
    </row>
    <row r="67" spans="1:10" ht="13" x14ac:dyDescent="0.25">
      <c r="A67" s="135" t="s">
        <v>81</v>
      </c>
      <c r="B67" s="481" t="s">
        <v>82</v>
      </c>
      <c r="C67" s="481"/>
      <c r="D67" s="481"/>
      <c r="E67" s="230">
        <v>656.14</v>
      </c>
      <c r="F67" s="25">
        <v>680.07</v>
      </c>
      <c r="G67" s="25">
        <v>680.07</v>
      </c>
      <c r="H67" s="323">
        <v>720.96</v>
      </c>
      <c r="I67" s="25">
        <v>720.96</v>
      </c>
      <c r="J67" s="25">
        <f>J56</f>
        <v>799.74</v>
      </c>
    </row>
    <row r="68" spans="1:10" ht="13" x14ac:dyDescent="0.25">
      <c r="A68" s="135" t="s">
        <v>83</v>
      </c>
      <c r="B68" s="481" t="s">
        <v>25</v>
      </c>
      <c r="C68" s="481"/>
      <c r="D68" s="481"/>
      <c r="E68" s="230">
        <v>177</v>
      </c>
      <c r="F68" s="25">
        <v>173.95</v>
      </c>
      <c r="G68" s="25">
        <v>197.95</v>
      </c>
      <c r="H68" s="323">
        <v>192.75</v>
      </c>
      <c r="I68" s="25">
        <v>198.75</v>
      </c>
      <c r="J68" s="25">
        <f>J62</f>
        <v>188.73</v>
      </c>
    </row>
    <row r="69" spans="1:10" ht="12.75" customHeight="1" x14ac:dyDescent="0.25">
      <c r="A69" s="474" t="s">
        <v>156</v>
      </c>
      <c r="B69" s="474"/>
      <c r="C69" s="474"/>
      <c r="D69" s="474"/>
      <c r="E69" s="241">
        <v>1187.02</v>
      </c>
      <c r="F69" s="128">
        <v>1220.81</v>
      </c>
      <c r="G69" s="35">
        <v>1244.81</v>
      </c>
      <c r="H69" s="35">
        <v>1302.55</v>
      </c>
      <c r="I69" s="35">
        <f>ROUND(SUM(I66:I68),2)</f>
        <v>1308.55</v>
      </c>
      <c r="J69" s="35">
        <f>ROUND(SUM(J66:J68),2)</f>
        <v>1419.8</v>
      </c>
    </row>
    <row r="71" spans="1:10" ht="13" x14ac:dyDescent="0.25">
      <c r="A71" s="478" t="s">
        <v>84</v>
      </c>
      <c r="B71" s="479"/>
      <c r="C71" s="479"/>
      <c r="D71" s="479"/>
      <c r="E71" s="479"/>
      <c r="F71" s="479"/>
      <c r="G71" s="479"/>
      <c r="H71" s="479"/>
      <c r="I71" s="479"/>
      <c r="J71" s="480"/>
    </row>
    <row r="72" spans="1:10" ht="13" x14ac:dyDescent="0.25">
      <c r="A72" s="29">
        <v>3</v>
      </c>
      <c r="B72" s="478" t="s">
        <v>85</v>
      </c>
      <c r="C72" s="480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ht="13" x14ac:dyDescent="0.25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7.28</v>
      </c>
      <c r="F73" s="34">
        <v>7.54</v>
      </c>
      <c r="G73" s="34">
        <v>7.54</v>
      </c>
      <c r="H73" s="329">
        <v>7.99</v>
      </c>
      <c r="I73" s="34">
        <v>7.99</v>
      </c>
      <c r="J73" s="34">
        <f t="shared" ref="J73:J78" si="1">ROUND(D73*$K$39,2)</f>
        <v>8.8699999999999992</v>
      </c>
    </row>
    <row r="74" spans="1:10" ht="13" x14ac:dyDescent="0.25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0.52</v>
      </c>
      <c r="F74" s="34">
        <v>0.54</v>
      </c>
      <c r="G74" s="34">
        <v>0.54</v>
      </c>
      <c r="H74" s="329">
        <v>0.56999999999999995</v>
      </c>
      <c r="I74" s="34">
        <v>0.56999999999999995</v>
      </c>
      <c r="J74" s="34">
        <f t="shared" si="1"/>
        <v>0.63</v>
      </c>
    </row>
    <row r="75" spans="1:10" ht="13" x14ac:dyDescent="0.25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4.16</v>
      </c>
      <c r="F75" s="34">
        <v>4.3099999999999996</v>
      </c>
      <c r="G75" s="34">
        <v>3.45</v>
      </c>
      <c r="H75" s="329">
        <v>3.65</v>
      </c>
      <c r="I75" s="34">
        <v>3.65</v>
      </c>
      <c r="J75" s="34">
        <f t="shared" si="1"/>
        <v>4.05</v>
      </c>
    </row>
    <row r="76" spans="1:10" ht="13" x14ac:dyDescent="0.25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2.77</v>
      </c>
      <c r="F76" s="34">
        <v>2.87</v>
      </c>
      <c r="G76" s="34">
        <v>2.87</v>
      </c>
      <c r="H76" s="329">
        <v>3.05</v>
      </c>
      <c r="I76" s="34">
        <v>3.05</v>
      </c>
      <c r="J76" s="34">
        <f t="shared" si="1"/>
        <v>3.38</v>
      </c>
    </row>
    <row r="77" spans="1:10" ht="25.5" customHeight="1" x14ac:dyDescent="0.25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1.04</v>
      </c>
      <c r="F77" s="34">
        <v>1.08</v>
      </c>
      <c r="G77" s="34">
        <v>1.08</v>
      </c>
      <c r="H77" s="329">
        <v>1.1399999999999999</v>
      </c>
      <c r="I77" s="34">
        <v>1.1399999999999999</v>
      </c>
      <c r="J77" s="34">
        <f t="shared" si="1"/>
        <v>1.27</v>
      </c>
    </row>
    <row r="78" spans="1:10" ht="13" x14ac:dyDescent="0.25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82.45</v>
      </c>
      <c r="F78" s="34">
        <v>85.46</v>
      </c>
      <c r="G78" s="34">
        <v>68.37</v>
      </c>
      <c r="H78" s="329">
        <v>72.48</v>
      </c>
      <c r="I78" s="34">
        <v>72.48</v>
      </c>
      <c r="J78" s="34">
        <f t="shared" si="1"/>
        <v>80.400000000000006</v>
      </c>
    </row>
    <row r="79" spans="1:10" ht="12.75" customHeight="1" x14ac:dyDescent="0.25">
      <c r="A79" s="475" t="s">
        <v>156</v>
      </c>
      <c r="B79" s="476"/>
      <c r="C79" s="477"/>
      <c r="D79" s="37">
        <f>SUM(D73:D78)</f>
        <v>4.6699999999999992E-2</v>
      </c>
      <c r="E79" s="31">
        <v>98.22</v>
      </c>
      <c r="F79" s="35">
        <v>101.8</v>
      </c>
      <c r="G79" s="35">
        <v>83.85</v>
      </c>
      <c r="H79" s="35">
        <v>88.88</v>
      </c>
      <c r="I79" s="35">
        <f>ROUND(SUM(I73:I78),2)</f>
        <v>88.88</v>
      </c>
      <c r="J79" s="35">
        <f>ROUND(SUM(J73:J78),2)</f>
        <v>98.6</v>
      </c>
    </row>
    <row r="81" spans="1:10" ht="13" x14ac:dyDescent="0.25">
      <c r="A81" s="478" t="s">
        <v>92</v>
      </c>
      <c r="B81" s="479"/>
      <c r="C81" s="479"/>
      <c r="D81" s="479"/>
      <c r="E81" s="479"/>
      <c r="F81" s="479"/>
      <c r="G81" s="479"/>
      <c r="H81" s="479"/>
      <c r="I81" s="479"/>
      <c r="J81" s="480"/>
    </row>
    <row r="82" spans="1:10" ht="13" x14ac:dyDescent="0.25">
      <c r="A82" s="46"/>
      <c r="B82" s="478" t="s">
        <v>93</v>
      </c>
      <c r="C82" s="480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ht="13" x14ac:dyDescent="0.25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17.5</v>
      </c>
      <c r="F83" s="34">
        <v>18.13</v>
      </c>
      <c r="G83" s="34">
        <v>18.13</v>
      </c>
      <c r="H83" s="329">
        <v>19.22</v>
      </c>
      <c r="I83" s="34">
        <v>19.22</v>
      </c>
      <c r="J83" s="34">
        <f t="shared" ref="J83:J88" si="2">ROUND(D83*$K$39,2)</f>
        <v>21.32</v>
      </c>
    </row>
    <row r="84" spans="1:10" ht="13" x14ac:dyDescent="0.25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9.6999999999999993</v>
      </c>
      <c r="F84" s="34">
        <v>10.050000000000001</v>
      </c>
      <c r="G84" s="34">
        <v>10.050000000000001</v>
      </c>
      <c r="H84" s="329">
        <v>10.66</v>
      </c>
      <c r="I84" s="34">
        <v>10.66</v>
      </c>
      <c r="J84" s="34">
        <f t="shared" si="2"/>
        <v>11.82</v>
      </c>
    </row>
    <row r="85" spans="1:10" ht="13" x14ac:dyDescent="0.25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24.08</v>
      </c>
      <c r="F85" s="34">
        <v>24.96</v>
      </c>
      <c r="G85" s="34">
        <v>24.96</v>
      </c>
      <c r="H85" s="329">
        <v>26.46</v>
      </c>
      <c r="I85" s="34">
        <v>26.46</v>
      </c>
      <c r="J85" s="34">
        <f t="shared" si="2"/>
        <v>29.35</v>
      </c>
    </row>
    <row r="86" spans="1:10" ht="13" x14ac:dyDescent="0.25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2.94</v>
      </c>
      <c r="F86" s="34">
        <v>3.05</v>
      </c>
      <c r="G86" s="34">
        <v>3.05</v>
      </c>
      <c r="H86" s="329">
        <v>3.24</v>
      </c>
      <c r="I86" s="34">
        <v>3.24</v>
      </c>
      <c r="J86" s="34">
        <f t="shared" si="2"/>
        <v>3.59</v>
      </c>
    </row>
    <row r="87" spans="1:10" ht="13" x14ac:dyDescent="0.25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3.64</v>
      </c>
      <c r="F87" s="34">
        <v>3.77</v>
      </c>
      <c r="G87" s="34">
        <v>3.77</v>
      </c>
      <c r="H87" s="329">
        <v>4</v>
      </c>
      <c r="I87" s="34">
        <v>4</v>
      </c>
      <c r="J87" s="34">
        <f t="shared" si="2"/>
        <v>4.43</v>
      </c>
    </row>
    <row r="88" spans="1:10" ht="13" x14ac:dyDescent="0.25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1.21</v>
      </c>
      <c r="F88" s="34">
        <v>1.26</v>
      </c>
      <c r="G88" s="34">
        <v>1.26</v>
      </c>
      <c r="H88" s="329">
        <v>1.33</v>
      </c>
      <c r="I88" s="34">
        <v>1.33</v>
      </c>
      <c r="J88" s="34">
        <f t="shared" si="2"/>
        <v>1.48</v>
      </c>
    </row>
    <row r="89" spans="1:10" ht="12.75" customHeight="1" x14ac:dyDescent="0.25">
      <c r="A89" s="475" t="s">
        <v>156</v>
      </c>
      <c r="B89" s="476"/>
      <c r="C89" s="477"/>
      <c r="D89" s="37">
        <f>SUM(D83:D88)</f>
        <v>3.4099999999999991E-2</v>
      </c>
      <c r="E89" s="35">
        <v>59.07</v>
      </c>
      <c r="F89" s="35">
        <v>61.22</v>
      </c>
      <c r="G89" s="35">
        <v>61.22</v>
      </c>
      <c r="H89" s="35">
        <v>64.91</v>
      </c>
      <c r="I89" s="35">
        <f>ROUND(SUM(I83:I88),2)</f>
        <v>64.91</v>
      </c>
      <c r="J89" s="35">
        <f>ROUND(SUM(J83:J88),2)</f>
        <v>71.989999999999995</v>
      </c>
    </row>
    <row r="90" spans="1:10" x14ac:dyDescent="0.25">
      <c r="E90" s="10"/>
      <c r="F90" s="10"/>
    </row>
    <row r="91" spans="1:10" ht="12.75" customHeight="1" x14ac:dyDescent="0.25">
      <c r="A91" s="478" t="s">
        <v>93</v>
      </c>
      <c r="B91" s="479"/>
      <c r="C91" s="479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5">
      <c r="A92" s="32" t="s">
        <v>6</v>
      </c>
      <c r="B92" s="471" t="s">
        <v>155</v>
      </c>
      <c r="C92" s="487"/>
      <c r="D92" s="129">
        <f>((D56)*(D45+D89))</f>
        <v>9.0305920000000012E-2</v>
      </c>
      <c r="E92" s="34">
        <v>156.43</v>
      </c>
      <c r="F92" s="34">
        <v>162.13</v>
      </c>
      <c r="G92" s="34">
        <v>162.13</v>
      </c>
      <c r="H92" s="329">
        <v>171.88</v>
      </c>
      <c r="I92" s="34">
        <v>171.88</v>
      </c>
      <c r="J92" s="34">
        <f>ROUND(D92*$K$39,2)</f>
        <v>190.66</v>
      </c>
    </row>
    <row r="93" spans="1:10" ht="12.75" customHeight="1" x14ac:dyDescent="0.25">
      <c r="A93" s="475" t="s">
        <v>156</v>
      </c>
      <c r="B93" s="476"/>
      <c r="C93" s="476"/>
      <c r="D93" s="130">
        <f>D92</f>
        <v>9.0305920000000012E-2</v>
      </c>
      <c r="E93" s="128">
        <v>156.43</v>
      </c>
      <c r="F93" s="128">
        <v>162.13</v>
      </c>
      <c r="G93" s="128">
        <v>162.13</v>
      </c>
      <c r="H93" s="128">
        <v>171.88</v>
      </c>
      <c r="I93" s="128">
        <f>ROUND(SUM(I92:I92),2)</f>
        <v>171.88</v>
      </c>
      <c r="J93" s="128">
        <f>ROUND(SUM(J92:J92),2)</f>
        <v>190.66</v>
      </c>
    </row>
    <row r="94" spans="1:10" x14ac:dyDescent="0.25">
      <c r="E94" s="10"/>
      <c r="F94" s="10"/>
    </row>
    <row r="95" spans="1:10" ht="12.75" customHeight="1" x14ac:dyDescent="0.25">
      <c r="A95" s="478" t="s">
        <v>142</v>
      </c>
      <c r="B95" s="479"/>
      <c r="C95" s="479"/>
      <c r="D95" s="480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ht="13" x14ac:dyDescent="0.25">
      <c r="A96" s="32" t="s">
        <v>0</v>
      </c>
      <c r="B96" s="471" t="s">
        <v>253</v>
      </c>
      <c r="C96" s="487"/>
      <c r="D96" s="472"/>
      <c r="E96" s="34">
        <v>74.03</v>
      </c>
      <c r="F96" s="34">
        <v>76.73</v>
      </c>
      <c r="G96" s="34">
        <v>76.73</v>
      </c>
      <c r="H96" s="329">
        <v>81.34</v>
      </c>
      <c r="I96" s="34">
        <f>ROUND((I21/220)*M16*1.5*0.25,2)</f>
        <v>81.34</v>
      </c>
      <c r="J96" s="34">
        <f>ROUND((J21/220)*M16*1.5*0.25,2)</f>
        <v>90.23</v>
      </c>
    </row>
    <row r="97" spans="1:16" ht="12.75" customHeight="1" x14ac:dyDescent="0.25">
      <c r="A97" s="475" t="s">
        <v>156</v>
      </c>
      <c r="B97" s="476"/>
      <c r="C97" s="476"/>
      <c r="D97" s="477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81.34</v>
      </c>
      <c r="J97" s="35">
        <f>ROUND(SUM(J96:J96),2)</f>
        <v>90.23</v>
      </c>
    </row>
    <row r="98" spans="1:16" ht="33" customHeight="1" x14ac:dyDescent="0.25">
      <c r="A98" s="488" t="s">
        <v>143</v>
      </c>
      <c r="B98" s="488"/>
      <c r="C98" s="488"/>
      <c r="D98" s="488"/>
      <c r="E98" s="488"/>
      <c r="F98" s="488"/>
      <c r="G98" s="488"/>
      <c r="H98" s="488"/>
      <c r="I98" s="488"/>
      <c r="J98" s="488"/>
    </row>
    <row r="100" spans="1:16" ht="12.75" customHeight="1" x14ac:dyDescent="0.25">
      <c r="A100" s="486" t="s">
        <v>99</v>
      </c>
      <c r="B100" s="486"/>
      <c r="C100" s="486"/>
      <c r="D100" s="486"/>
      <c r="E100" s="486"/>
      <c r="F100" s="486"/>
      <c r="G100" s="486"/>
      <c r="H100" s="486"/>
      <c r="I100" s="486"/>
      <c r="J100" s="486"/>
    </row>
    <row r="101" spans="1:16" ht="12.75" customHeight="1" x14ac:dyDescent="0.25">
      <c r="A101" s="486" t="s">
        <v>100</v>
      </c>
      <c r="B101" s="486"/>
      <c r="C101" s="486"/>
      <c r="D101" s="486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ht="13" x14ac:dyDescent="0.25">
      <c r="A102" s="48" t="s">
        <v>26</v>
      </c>
      <c r="B102" s="481" t="s">
        <v>95</v>
      </c>
      <c r="C102" s="481"/>
      <c r="D102" s="481"/>
      <c r="E102" s="25">
        <v>215.5</v>
      </c>
      <c r="F102" s="25">
        <v>223.35</v>
      </c>
      <c r="G102" s="25">
        <v>223.35</v>
      </c>
      <c r="H102" s="323">
        <v>236.79</v>
      </c>
      <c r="I102" s="25">
        <v>236.79</v>
      </c>
      <c r="J102" s="25">
        <f>ROUND(J89+J93,2)</f>
        <v>262.64999999999998</v>
      </c>
    </row>
    <row r="103" spans="1:16" ht="13" x14ac:dyDescent="0.25">
      <c r="A103" s="48" t="s">
        <v>27</v>
      </c>
      <c r="B103" s="481" t="s">
        <v>101</v>
      </c>
      <c r="C103" s="481"/>
      <c r="D103" s="481"/>
      <c r="E103" s="25">
        <v>74.03</v>
      </c>
      <c r="F103" s="25">
        <v>76.73</v>
      </c>
      <c r="G103" s="25">
        <v>76.73</v>
      </c>
      <c r="H103" s="323">
        <v>81.34</v>
      </c>
      <c r="I103" s="25">
        <f>I97</f>
        <v>81.34</v>
      </c>
      <c r="J103" s="25">
        <f>J97</f>
        <v>90.23</v>
      </c>
    </row>
    <row r="104" spans="1:16" s="137" customFormat="1" ht="12.75" customHeight="1" x14ac:dyDescent="0.25">
      <c r="A104" s="474" t="s">
        <v>102</v>
      </c>
      <c r="B104" s="474"/>
      <c r="C104" s="474"/>
      <c r="D104" s="474"/>
      <c r="E104" s="35">
        <v>289.52999999999997</v>
      </c>
      <c r="F104" s="35">
        <v>300.08</v>
      </c>
      <c r="G104" s="35">
        <v>300.08</v>
      </c>
      <c r="H104" s="35">
        <v>318.13</v>
      </c>
      <c r="I104" s="35">
        <f>ROUND(SUM(I102:I103),2)</f>
        <v>318.13</v>
      </c>
      <c r="J104" s="35">
        <f>ROUND(SUM(J102:J103),2)</f>
        <v>352.88</v>
      </c>
      <c r="K104" s="9"/>
      <c r="L104" s="9"/>
      <c r="N104" s="9"/>
      <c r="O104" s="9"/>
      <c r="P104" s="9"/>
    </row>
    <row r="106" spans="1:16" s="137" customFormat="1" ht="13" x14ac:dyDescent="0.25">
      <c r="A106" s="478" t="s">
        <v>103</v>
      </c>
      <c r="B106" s="479"/>
      <c r="C106" s="479"/>
      <c r="D106" s="479"/>
      <c r="E106" s="479"/>
      <c r="F106" s="479"/>
      <c r="G106" s="479"/>
      <c r="H106" s="479"/>
      <c r="I106" s="479"/>
      <c r="J106" s="480"/>
      <c r="K106" s="9"/>
      <c r="L106" s="9"/>
      <c r="N106" s="9"/>
      <c r="O106" s="9"/>
      <c r="P106" s="9"/>
    </row>
    <row r="107" spans="1:16" s="137" customFormat="1" ht="13" x14ac:dyDescent="0.25">
      <c r="A107" s="29">
        <v>5</v>
      </c>
      <c r="B107" s="478" t="s">
        <v>104</v>
      </c>
      <c r="C107" s="480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ht="13" x14ac:dyDescent="0.25">
      <c r="A108" s="32" t="s">
        <v>0</v>
      </c>
      <c r="B108" s="471" t="s">
        <v>129</v>
      </c>
      <c r="C108" s="472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18.72</v>
      </c>
      <c r="K108" s="9"/>
      <c r="L108" s="9"/>
      <c r="N108" s="9"/>
      <c r="O108" s="9"/>
      <c r="P108" s="9"/>
    </row>
    <row r="109" spans="1:16" s="137" customFormat="1" ht="13" x14ac:dyDescent="0.25">
      <c r="A109" s="32" t="s">
        <v>1</v>
      </c>
      <c r="B109" s="471" t="s">
        <v>190</v>
      </c>
      <c r="C109" s="472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329">
        <v>17.690000000000001</v>
      </c>
      <c r="I109" s="34">
        <v>17.690000000000001</v>
      </c>
      <c r="J109" s="347">
        <f>'Uniformes e Equiptos'!H41</f>
        <v>19.46</v>
      </c>
      <c r="K109" s="49"/>
      <c r="L109" s="9"/>
      <c r="N109" s="9"/>
      <c r="O109" s="9"/>
      <c r="P109" s="9"/>
    </row>
    <row r="110" spans="1:16" s="137" customFormat="1" ht="13" x14ac:dyDescent="0.25">
      <c r="A110" s="32" t="s">
        <v>2</v>
      </c>
      <c r="B110" s="471" t="s">
        <v>187</v>
      </c>
      <c r="C110" s="472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5">
      <c r="A111" s="475" t="s">
        <v>156</v>
      </c>
      <c r="B111" s="476"/>
      <c r="C111" s="477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38.18</v>
      </c>
      <c r="K111" s="9"/>
      <c r="L111" s="9"/>
      <c r="N111" s="9"/>
      <c r="O111" s="9"/>
      <c r="P111" s="9"/>
    </row>
    <row r="113" spans="1:16" s="137" customFormat="1" ht="13" x14ac:dyDescent="0.25">
      <c r="A113" s="478" t="s">
        <v>105</v>
      </c>
      <c r="B113" s="479"/>
      <c r="C113" s="479"/>
      <c r="D113" s="479"/>
      <c r="E113" s="479"/>
      <c r="F113" s="479"/>
      <c r="G113" s="479"/>
      <c r="H113" s="479"/>
      <c r="I113" s="479"/>
      <c r="J113" s="480"/>
      <c r="K113" s="9"/>
      <c r="L113" s="9"/>
      <c r="N113" s="9"/>
      <c r="O113" s="9"/>
      <c r="P113" s="9"/>
    </row>
    <row r="114" spans="1:16" s="137" customFormat="1" ht="13" x14ac:dyDescent="0.25">
      <c r="A114" s="29">
        <v>6</v>
      </c>
      <c r="B114" s="478" t="s">
        <v>106</v>
      </c>
      <c r="C114" s="480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5">
      <c r="A115" s="32" t="s">
        <v>0</v>
      </c>
      <c r="B115" s="471" t="s">
        <v>301</v>
      </c>
      <c r="C115" s="472"/>
      <c r="D115" s="51">
        <v>0.03</v>
      </c>
      <c r="E115" s="34">
        <v>101.4</v>
      </c>
      <c r="F115" s="34">
        <v>104.78</v>
      </c>
      <c r="G115" s="34">
        <v>104.96</v>
      </c>
      <c r="H115" s="329">
        <v>110.69</v>
      </c>
      <c r="I115" s="34">
        <v>110.87</v>
      </c>
      <c r="J115" s="34">
        <f>ROUND(J130*D115,2)</f>
        <v>122.03</v>
      </c>
      <c r="K115" s="132"/>
      <c r="L115" s="138"/>
      <c r="N115" s="9"/>
      <c r="O115" s="9"/>
      <c r="P115" s="9"/>
    </row>
    <row r="116" spans="1:16" s="137" customFormat="1" ht="13" x14ac:dyDescent="0.25">
      <c r="A116" s="32" t="s">
        <v>1</v>
      </c>
      <c r="B116" s="52" t="s">
        <v>12</v>
      </c>
      <c r="C116" s="53"/>
      <c r="D116" s="51">
        <v>1.0200000000000001E-2</v>
      </c>
      <c r="E116" s="34">
        <v>35.51</v>
      </c>
      <c r="F116" s="34">
        <v>36.69</v>
      </c>
      <c r="G116" s="34">
        <v>36.76</v>
      </c>
      <c r="H116" s="329">
        <v>38.76</v>
      </c>
      <c r="I116" s="34">
        <v>38.83</v>
      </c>
      <c r="J116" s="34">
        <f>ROUND((J130+J115)*D116,2)</f>
        <v>42.73</v>
      </c>
      <c r="K116" s="133"/>
      <c r="L116" s="139"/>
      <c r="N116" s="9"/>
      <c r="O116" s="9"/>
      <c r="P116" s="9"/>
    </row>
    <row r="117" spans="1:16" s="137" customFormat="1" ht="13" x14ac:dyDescent="0.25">
      <c r="A117" s="32" t="s">
        <v>2</v>
      </c>
      <c r="B117" s="483" t="s">
        <v>302</v>
      </c>
      <c r="C117" s="484"/>
      <c r="D117" s="54"/>
      <c r="E117" s="55"/>
      <c r="F117" s="55"/>
      <c r="G117" s="55"/>
      <c r="H117" s="330"/>
      <c r="I117" s="55"/>
      <c r="J117" s="55"/>
      <c r="K117" s="9"/>
      <c r="L117" s="9"/>
      <c r="N117" s="9"/>
      <c r="O117" s="9"/>
      <c r="P117" s="9"/>
    </row>
    <row r="118" spans="1:16" s="137" customFormat="1" ht="13" x14ac:dyDescent="0.25">
      <c r="A118" s="32" t="s">
        <v>107</v>
      </c>
      <c r="B118" s="471" t="s">
        <v>13</v>
      </c>
      <c r="C118" s="472"/>
      <c r="D118" s="51">
        <v>6.4999999999999997E-3</v>
      </c>
      <c r="E118" s="34">
        <v>24.36</v>
      </c>
      <c r="F118" s="34">
        <v>25.17</v>
      </c>
      <c r="G118" s="34">
        <v>25.21</v>
      </c>
      <c r="H118" s="329">
        <v>26.59</v>
      </c>
      <c r="I118" s="34">
        <v>26.63</v>
      </c>
      <c r="J118" s="34">
        <f>ROUND((($J$130+$J$115+$J$116)/(1-($D$118+$D$119+$D$120)))*D118,2)</f>
        <v>29.31</v>
      </c>
      <c r="K118" s="469"/>
      <c r="L118" s="470"/>
      <c r="N118" s="9"/>
      <c r="O118" s="9"/>
      <c r="P118" s="9"/>
    </row>
    <row r="119" spans="1:16" s="137" customFormat="1" ht="13" x14ac:dyDescent="0.25">
      <c r="A119" s="32" t="s">
        <v>108</v>
      </c>
      <c r="B119" s="471" t="s">
        <v>14</v>
      </c>
      <c r="C119" s="472"/>
      <c r="D119" s="51">
        <v>0.03</v>
      </c>
      <c r="E119" s="34">
        <v>112.42</v>
      </c>
      <c r="F119" s="34">
        <v>116.16</v>
      </c>
      <c r="G119" s="34">
        <v>116.37</v>
      </c>
      <c r="H119" s="329">
        <v>122.72</v>
      </c>
      <c r="I119" s="34">
        <v>122.92</v>
      </c>
      <c r="J119" s="34">
        <f>ROUND((($J$130+$J$115+$J$116)/(1-($D$118+$D$119+$D$120)))*D119,2)</f>
        <v>135.29</v>
      </c>
      <c r="K119" s="469"/>
      <c r="L119" s="470"/>
      <c r="N119" s="9"/>
      <c r="O119" s="9"/>
      <c r="P119" s="9"/>
    </row>
    <row r="120" spans="1:16" ht="13" x14ac:dyDescent="0.25">
      <c r="A120" s="32" t="s">
        <v>109</v>
      </c>
      <c r="B120" s="471" t="s">
        <v>30</v>
      </c>
      <c r="C120" s="472"/>
      <c r="D120" s="51">
        <f>M9</f>
        <v>2.5000000000000001E-2</v>
      </c>
      <c r="E120" s="34">
        <v>93.69</v>
      </c>
      <c r="F120" s="34">
        <v>96.8</v>
      </c>
      <c r="G120" s="34">
        <v>96.97</v>
      </c>
      <c r="H120" s="329">
        <v>102.27</v>
      </c>
      <c r="I120" s="34">
        <v>102.44</v>
      </c>
      <c r="J120" s="34">
        <f>ROUND((($J$130+$J$115+$J$116)/(1-($D$118+$D$119+$D$120)))*D120,2)</f>
        <v>112.74</v>
      </c>
    </row>
    <row r="121" spans="1:16" ht="12.75" customHeight="1" x14ac:dyDescent="0.25">
      <c r="A121" s="475" t="s">
        <v>157</v>
      </c>
      <c r="B121" s="476"/>
      <c r="C121" s="477"/>
      <c r="D121" s="47">
        <f>SUM(D115:D120)</f>
        <v>0.10169999999999998</v>
      </c>
      <c r="E121" s="31">
        <v>367.38</v>
      </c>
      <c r="F121" s="31">
        <v>379.59999999999997</v>
      </c>
      <c r="G121" s="31">
        <v>380.27</v>
      </c>
      <c r="H121" s="31">
        <v>401.03</v>
      </c>
      <c r="I121" s="31">
        <f>SUM(I115:I120)</f>
        <v>401.69</v>
      </c>
      <c r="J121" s="31">
        <f>SUM(J115:J120)</f>
        <v>442.1</v>
      </c>
    </row>
    <row r="123" spans="1:16" ht="12.75" customHeight="1" x14ac:dyDescent="0.25">
      <c r="A123" s="486" t="s">
        <v>110</v>
      </c>
      <c r="B123" s="486"/>
      <c r="C123" s="486"/>
      <c r="D123" s="486"/>
      <c r="E123" s="486"/>
      <c r="F123" s="486"/>
      <c r="G123" s="486"/>
      <c r="H123" s="486"/>
      <c r="I123" s="486"/>
      <c r="J123" s="486"/>
    </row>
    <row r="124" spans="1:16" ht="12.75" customHeight="1" x14ac:dyDescent="0.25">
      <c r="A124" s="486" t="s">
        <v>111</v>
      </c>
      <c r="B124" s="486"/>
      <c r="C124" s="486"/>
      <c r="D124" s="486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5">
      <c r="A125" s="136" t="s">
        <v>0</v>
      </c>
      <c r="B125" s="481" t="s">
        <v>65</v>
      </c>
      <c r="C125" s="481"/>
      <c r="D125" s="481"/>
      <c r="E125" s="25">
        <v>1770.57</v>
      </c>
      <c r="F125" s="25">
        <v>1835.15</v>
      </c>
      <c r="G125" s="25">
        <v>1835.15</v>
      </c>
      <c r="H125" s="323">
        <v>1945.48</v>
      </c>
      <c r="I125" s="25">
        <v>1945.48</v>
      </c>
      <c r="J125" s="25">
        <f>J39</f>
        <v>2158.0500000000002</v>
      </c>
    </row>
    <row r="126" spans="1:16" x14ac:dyDescent="0.25">
      <c r="A126" s="136" t="s">
        <v>1</v>
      </c>
      <c r="B126" s="481" t="s">
        <v>68</v>
      </c>
      <c r="C126" s="481"/>
      <c r="D126" s="481"/>
      <c r="E126" s="25">
        <v>1187.02</v>
      </c>
      <c r="F126" s="25">
        <v>1220.81</v>
      </c>
      <c r="G126" s="25">
        <v>1244.81</v>
      </c>
      <c r="H126" s="323">
        <v>1302.55</v>
      </c>
      <c r="I126" s="25">
        <v>1308.55</v>
      </c>
      <c r="J126" s="25">
        <f>J69</f>
        <v>1419.8</v>
      </c>
    </row>
    <row r="127" spans="1:16" x14ac:dyDescent="0.25">
      <c r="A127" s="136" t="s">
        <v>2</v>
      </c>
      <c r="B127" s="481" t="s">
        <v>84</v>
      </c>
      <c r="C127" s="481"/>
      <c r="D127" s="481"/>
      <c r="E127" s="25">
        <v>98.22</v>
      </c>
      <c r="F127" s="25">
        <v>101.8</v>
      </c>
      <c r="G127" s="25">
        <v>83.85</v>
      </c>
      <c r="H127" s="323">
        <v>88.88</v>
      </c>
      <c r="I127" s="25">
        <v>88.88</v>
      </c>
      <c r="J127" s="25">
        <f>J79</f>
        <v>98.6</v>
      </c>
    </row>
    <row r="128" spans="1:16" x14ac:dyDescent="0.25">
      <c r="A128" s="56" t="s">
        <v>3</v>
      </c>
      <c r="B128" s="481" t="s">
        <v>92</v>
      </c>
      <c r="C128" s="481"/>
      <c r="D128" s="481"/>
      <c r="E128" s="25">
        <v>289.52999999999997</v>
      </c>
      <c r="F128" s="25">
        <v>300.08</v>
      </c>
      <c r="G128" s="25">
        <v>300.08</v>
      </c>
      <c r="H128" s="323">
        <v>318.13</v>
      </c>
      <c r="I128" s="25">
        <v>318.13</v>
      </c>
      <c r="J128" s="25">
        <f>J104</f>
        <v>352.88</v>
      </c>
      <c r="L128" s="218"/>
    </row>
    <row r="129" spans="1:12" x14ac:dyDescent="0.25">
      <c r="A129" s="57" t="s">
        <v>4</v>
      </c>
      <c r="B129" s="481" t="s">
        <v>103</v>
      </c>
      <c r="C129" s="481"/>
      <c r="D129" s="481"/>
      <c r="E129" s="58">
        <v>34.69</v>
      </c>
      <c r="F129" s="58">
        <v>34.69</v>
      </c>
      <c r="G129" s="58">
        <v>34.69</v>
      </c>
      <c r="H129" s="331">
        <v>34.69</v>
      </c>
      <c r="I129" s="58">
        <v>34.69</v>
      </c>
      <c r="J129" s="58">
        <f>J111</f>
        <v>38.18</v>
      </c>
      <c r="L129" s="218"/>
    </row>
    <row r="130" spans="1:12" ht="13" x14ac:dyDescent="0.25">
      <c r="A130" s="59"/>
      <c r="B130" s="482" t="s">
        <v>112</v>
      </c>
      <c r="C130" s="482"/>
      <c r="D130" s="482"/>
      <c r="E130" s="60">
        <v>3380.03</v>
      </c>
      <c r="F130" s="60">
        <v>3492.53</v>
      </c>
      <c r="G130" s="60">
        <v>3498.58</v>
      </c>
      <c r="H130" s="60">
        <v>3689.73</v>
      </c>
      <c r="I130" s="60">
        <v>3695.73</v>
      </c>
      <c r="J130" s="60">
        <f>SUM(J125:J129)</f>
        <v>4067.51</v>
      </c>
    </row>
    <row r="131" spans="1:12" x14ac:dyDescent="0.25">
      <c r="A131" s="136" t="s">
        <v>5</v>
      </c>
      <c r="B131" s="481" t="s">
        <v>105</v>
      </c>
      <c r="C131" s="481"/>
      <c r="D131" s="481"/>
      <c r="E131" s="25">
        <v>367.38</v>
      </c>
      <c r="F131" s="25">
        <v>379.59999999999997</v>
      </c>
      <c r="G131" s="25">
        <v>380.27</v>
      </c>
      <c r="H131" s="323">
        <v>401.03</v>
      </c>
      <c r="I131" s="25">
        <v>401.69</v>
      </c>
      <c r="J131" s="25">
        <f>J121</f>
        <v>442.1</v>
      </c>
    </row>
    <row r="132" spans="1:12" ht="13" x14ac:dyDescent="0.25">
      <c r="A132" s="474" t="s">
        <v>113</v>
      </c>
      <c r="B132" s="474"/>
      <c r="C132" s="474"/>
      <c r="D132" s="474"/>
      <c r="E132" s="119">
        <v>3747.41</v>
      </c>
      <c r="F132" s="119">
        <v>3872.13</v>
      </c>
      <c r="G132" s="119">
        <v>3878.85</v>
      </c>
      <c r="H132" s="119">
        <v>4090.76</v>
      </c>
      <c r="I132" s="119">
        <v>4097.42</v>
      </c>
      <c r="J132" s="119">
        <f>ROUND(SUM(J130:J131),2)</f>
        <v>4509.6099999999997</v>
      </c>
    </row>
    <row r="133" spans="1:12" ht="13" x14ac:dyDescent="0.25">
      <c r="A133" s="485" t="s">
        <v>140</v>
      </c>
      <c r="B133" s="485"/>
      <c r="C133" s="485"/>
      <c r="D133" s="485"/>
      <c r="E133" s="118">
        <v>1</v>
      </c>
      <c r="F133" s="118">
        <v>1</v>
      </c>
      <c r="G133" s="118">
        <v>1</v>
      </c>
      <c r="H133" s="118">
        <v>1</v>
      </c>
      <c r="I133" s="118">
        <v>1</v>
      </c>
      <c r="J133" s="118">
        <f>D16</f>
        <v>1</v>
      </c>
    </row>
    <row r="134" spans="1:12" ht="13" x14ac:dyDescent="0.25">
      <c r="A134" s="473" t="s">
        <v>141</v>
      </c>
      <c r="B134" s="473"/>
      <c r="C134" s="473"/>
      <c r="D134" s="473"/>
      <c r="E134" s="235">
        <v>3747.41</v>
      </c>
      <c r="F134" s="235">
        <v>3872.13</v>
      </c>
      <c r="G134" s="111">
        <v>3878.85</v>
      </c>
      <c r="H134" s="111">
        <v>4090.76</v>
      </c>
      <c r="I134" s="111">
        <f>ROUND(I132*I133,2)</f>
        <v>4097.42</v>
      </c>
      <c r="J134" s="111">
        <f>ROUND(J132*J133,2)</f>
        <v>4509.6099999999997</v>
      </c>
    </row>
  </sheetData>
  <mergeCells count="123">
    <mergeCell ref="A1:J1"/>
    <mergeCell ref="A3:C3"/>
    <mergeCell ref="D3:J3"/>
    <mergeCell ref="A4:C4"/>
    <mergeCell ref="D4:J4"/>
    <mergeCell ref="L3:M3"/>
    <mergeCell ref="A8:J8"/>
    <mergeCell ref="B9:D9"/>
    <mergeCell ref="B10:D10"/>
    <mergeCell ref="A7:J7"/>
    <mergeCell ref="A5:J5"/>
    <mergeCell ref="A6:J6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32:C32"/>
    <mergeCell ref="B33:C33"/>
    <mergeCell ref="B34:C34"/>
    <mergeCell ref="B35:C35"/>
    <mergeCell ref="B36:C36"/>
    <mergeCell ref="B37:C37"/>
    <mergeCell ref="B38:C38"/>
    <mergeCell ref="A39:D39"/>
    <mergeCell ref="A41:J41"/>
    <mergeCell ref="A42:C42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A95:D95"/>
    <mergeCell ref="B96:D96"/>
    <mergeCell ref="A97:D97"/>
    <mergeCell ref="A98:J98"/>
    <mergeCell ref="A100:J100"/>
    <mergeCell ref="A101:D101"/>
    <mergeCell ref="B102:D102"/>
    <mergeCell ref="B103:D103"/>
    <mergeCell ref="A104:D104"/>
    <mergeCell ref="A106:J106"/>
    <mergeCell ref="K118:L118"/>
    <mergeCell ref="K119:L119"/>
    <mergeCell ref="B107:C107"/>
    <mergeCell ref="B108:C108"/>
    <mergeCell ref="B109:C109"/>
    <mergeCell ref="B110:C110"/>
    <mergeCell ref="A111:C111"/>
    <mergeCell ref="A113:J113"/>
    <mergeCell ref="B125:D125"/>
    <mergeCell ref="B126:D126"/>
    <mergeCell ref="B114:C114"/>
    <mergeCell ref="B115:C115"/>
    <mergeCell ref="B117:C117"/>
    <mergeCell ref="B118:C118"/>
    <mergeCell ref="B119:C119"/>
    <mergeCell ref="A134:D134"/>
    <mergeCell ref="B127:D127"/>
    <mergeCell ref="B128:D128"/>
    <mergeCell ref="B129:D129"/>
    <mergeCell ref="B130:D130"/>
    <mergeCell ref="B131:D131"/>
    <mergeCell ref="A132:D132"/>
    <mergeCell ref="A133:D133"/>
    <mergeCell ref="B120:C120"/>
    <mergeCell ref="A121:C121"/>
    <mergeCell ref="A123:J123"/>
    <mergeCell ref="A124:D124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5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10</vt:i4>
      </vt:variant>
    </vt:vector>
  </HeadingPairs>
  <TitlesOfParts>
    <vt:vector size="21" baseType="lpstr">
      <vt:lpstr>Proposta</vt:lpstr>
      <vt:lpstr>44 Diurno Desarm </vt:lpstr>
      <vt:lpstr>12 x 36 Diurno Desarm</vt:lpstr>
      <vt:lpstr>12 x 36 Noturno Desarm</vt:lpstr>
      <vt:lpstr>12 x 36 Diurno Desarm- 2ª a Sáb</vt:lpstr>
      <vt:lpstr>12 x 36 Diurno Arm</vt:lpstr>
      <vt:lpstr>12 x 36 Noturno Arm</vt:lpstr>
      <vt:lpstr>6 hs Noturno CFTV</vt:lpstr>
      <vt:lpstr>6 hs Diurno CFTV</vt:lpstr>
      <vt:lpstr>Encargos Sociais</vt:lpstr>
      <vt:lpstr>Uniformes e Equiptos</vt:lpstr>
      <vt:lpstr>'12 x 36 Diurno Arm'!Area_de_impressao</vt:lpstr>
      <vt:lpstr>'12 x 36 Diurno Desarm'!Area_de_impressao</vt:lpstr>
      <vt:lpstr>'12 x 36 Diurno Desarm- 2ª a Sáb'!Area_de_impressao</vt:lpstr>
      <vt:lpstr>'12 x 36 Noturno Arm'!Area_de_impressao</vt:lpstr>
      <vt:lpstr>'12 x 36 Noturno Desarm'!Area_de_impressao</vt:lpstr>
      <vt:lpstr>'44 Diurno Desarm '!Area_de_impressao</vt:lpstr>
      <vt:lpstr>'6 hs Diurno CFTV'!Area_de_impressao</vt:lpstr>
      <vt:lpstr>'6 hs Noturno CFTV'!Area_de_impressao</vt:lpstr>
      <vt:lpstr>'Encargos Sociais'!Area_de_impressao</vt:lpstr>
      <vt:lpstr>Proposta!Area_de_impressao</vt:lpstr>
    </vt:vector>
  </TitlesOfParts>
  <Company>ONDREPSB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Graciano de Amorim</dc:creator>
  <cp:lastModifiedBy>Elaine Maria Molina Fernandes dos Reis</cp:lastModifiedBy>
  <cp:lastPrinted>2019-05-09T12:28:08Z</cp:lastPrinted>
  <dcterms:created xsi:type="dcterms:W3CDTF">1999-03-03T15:17:50Z</dcterms:created>
  <dcterms:modified xsi:type="dcterms:W3CDTF">2022-03-04T21:56:04Z</dcterms:modified>
</cp:coreProperties>
</file>